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2310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<sst xmlns="http://schemas.openxmlformats.org/spreadsheetml/2006/main" count="396" uniqueCount="344">
  <si>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</si>
  <si>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</si>
  <si>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</si>
  <si>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</si>
  <si>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</si>
  <si>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</si>
  <si>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</si>
  <si>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</si>
  <si>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</si>
  <si>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</si>
  <si>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</si>
  <si>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</si>
  <si>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</si>
  <si>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</si>
  <si>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</si>
  <si>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</si>
  <si>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</si>
  <si>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</si>
  <si>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</si>
  <si>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</si>
  <si>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</si>
  <si>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</si>
  <si>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</si>
  <si>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</si>
  <si>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</si>
  <si>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</si>
  <si>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</si>
  <si>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</si>
  <si>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</si>
  <si>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</si>
  <si>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</si>
  <si>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</si>
  <si>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</si>
  <si>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</si>
  <si>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</si>
  <si>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</si>
  <si>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</si>
  <si>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</si>
  <si>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</si>
  <si>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</si>
  <si>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</si>
  <si>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</si>
  <si>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</si>
  <si>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</si>
  <si>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</si>
  <si>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</si>
  <si>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</si>
  <si>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</si>
  <si>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</si>
  <si>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</si>
  <si>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</si>
  <si>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</si>
  <si>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</si>
  <si>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</si>
  <si>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</si>
  <si>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</si>
  <si>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</si>
  <si>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</si>
  <si>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</si>
  <si>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</si>
  <si>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</si>
  <si>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</si>
  <si>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</si>
  <si>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</si>
  <si>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</si>
  <si>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</si>
  <si>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</si>
  <si>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</si>
  <si>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</si>
  <si>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</si>
  <si>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</si>
  <si>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</si>
  <si>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</si>
  <si>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</si>
  <si>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</si>
  <si>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</si>
  <si>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</si>
  <si>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</si>
  <si>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</si>
  <si>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</si>
  <si>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</si>
  <si>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</si>
  <si>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</si>
  <si>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</si>
  <si>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</si>
  <si>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</si>
  <si>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</si>
  <si>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</si>
  <si>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</si>
  <si>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</si>
  <si>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</si>
  <si>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</si>
  <si>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</si>
  <si>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</si>
  <si>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</si>
  <si>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</si>
  <si>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</si>
  <si>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</si>
  <si>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</si>
  <si>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</si>
  <si>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</si>
  <si>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</si>
  <si>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</si>
  <si>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</si>
  <si>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</si>
  <si>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</si>
  <si>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</si>
  <si>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</si>
  <si>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</si>
  <si>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</si>
  <si>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</si>
  <si>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</si>
  <si>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</si>
  <si>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</si>
  <si>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</si>
  <si>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</si>
  <si>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</si>
  <si>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</si>
  <si>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</si>
  <si>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</si>
  <si>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</si>
  <si>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</si>
  <si>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</si>
  <si>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</si>
  <si>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</si>
  <si>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</si>
  <si>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</si>
  <si>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</si>
  <si>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</si>
  <si>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</si>
  <si>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</si>
  <si>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</si>
  <si>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</si>
  <si>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</si>
  <si>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</si>
  <si>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</si>
  <si>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</si>
  <si>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</si>
  <si>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</si>
  <si>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</si>
  <si>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</si>
  <si>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</si>
  <si>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</si>
  <si>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</si>
  <si>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</si>
  <si>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</si>
  <si>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</si>
  <si>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</si>
  <si>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</si>
  <si>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</si>
  <si>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</si>
  <si>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</si>
  <si>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</si>
  <si>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</si>
  <si>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</si>
  <si>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</si>
  <si>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</si>
  <si>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</si>
  <si>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</si>
  <si>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</si>
  <si>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</si>
  <si>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</si>
  <si>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</si>
  <si>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</si>
  <si>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</si>
  <si>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</si>
  <si>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</si>
  <si>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</si>
  <si>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</si>
  <si>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</si>
  <si>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</si>
  <si>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</si>
  <si>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</si>
  <si>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</si>
  <si>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</si>
  <si>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</si>
  <si>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</si>
  <si>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</si>
  <si>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</si>
  <si>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</si>
  <si>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</si>
  <si>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</si>
  <si>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</si>
  <si>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</si>
  <si>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</si>
  <si>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</si>
  <si>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</si>
  <si>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</si>
  <si>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</si>
  <si>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</si>
  <si>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</si>
  <si>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</si>
  <si>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</si>
  <si>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</si>
  <si>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</si>
  <si>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</si>
  <si>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</si>
  <si>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</si>
  <si>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</si>
  <si>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</si>
  <si>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</si>
  <si>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</si>
  <si>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</si>
  <si>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</si>
  <si>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</si>
  <si>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</si>
  <si>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</si>
  <si>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</si>
  <si>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</si>
  <si>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</si>
  <si>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</si>
  <si>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</si>
  <si>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</si>
  <si>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</si>
  <si>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</si>
  <si>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</si>
  <si>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</si>
  <si>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</si>
  <si>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</si>
  <si>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</si>
  <si>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</si>
  <si>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</si>
  <si>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</si>
  <si>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</si>
  <si>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</si>
  <si>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</si>
  <si>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</si>
  <si>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</si>
  <si>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</si>
  <si>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</si>
  <si>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</si>
  <si>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</si>
  <si>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</si>
  <si>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</si>
  <si>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</si>
  <si>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</si>
  <si>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</si>
  <si>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</si>
  <si>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</si>
  <si>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</si>
  <si>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</si>
  <si>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</si>
  <si>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</si>
  <si>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</si>
  <si>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</si>
  <si>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</si>
  <si>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</si>
  <si>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</si>
  <si>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</si>
  <si>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</si>
  <si>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</si>
  <si>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</si>
  <si>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</si>
  <si>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</si>
  <si>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</si>
  <si>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</si>
  <si>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</si>
  <si>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</si>
  <si>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</si>
  <si>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</si>
  <si>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</si>
  <si>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</si>
  <si>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</si>
  <si>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</si>
  <si>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</si>
  <si>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</si>
  <si>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</si>
  <si>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</si>
  <si>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</si>
  <si>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</si>
  <si>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</si>
  <si>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</si>
  <si>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</si>
  <si>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</si>
  <si>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</si>
  <si>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</si>
  <si>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</si>
  <si>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</si>
  <si>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</si>
  <si>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</si>
  <si>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</si>
  <si>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</si>
  <si>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</si>
  <si>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</si>
  <si>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</si>
  <si>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</si>
  <si>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</si>
  <si>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</si>
  <si>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</si>
  <si>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</si>
  <si>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</si>
  <si>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</si>
  <si>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</si>
  <si>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</si>
  <si>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</si>
  <si>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</si>
  <si>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</si>
  <si>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</si>
  <si>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</si>
  <si>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</si>
  <si>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</si>
  <si>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</si>
  <si>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</si>
  <si>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</si>
  <si>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</si>
  <si>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</si>
  <si>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</si>
  <si>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</si>
  <si>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</si>
  <si>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</si>
  <si>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</si>
  <si>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</si>
  <si>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</si>
  <si>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</si>
  <si>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</si>
  <si>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</si>
  <si>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</si>
  <si>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</si>
  <si>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</si>
  <si>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</si>
  <si>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</si>
  <si>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</si>
  <si>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</si>
  <si>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</si>
  <si>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03298744</t>
  </si>
  <si>
    <t>080037012</t>
  </si>
  <si>
    <t>24640993045</t>
  </si>
  <si>
    <t>CROATIA AIRLINES d.d.</t>
  </si>
  <si>
    <t>ZAGREB</t>
  </si>
  <si>
    <t>BANI 75 B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</si>
  <si>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</si>
  <si>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</si>
  <si>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</si>
  <si>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</si>
  <si>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</si>
  <si>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</si>
  <si>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</si>
  <si>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SREĆKO ŠIMUNOVIĆ</t>
  </si>
  <si>
    <t>Obveznik: CROATIA AIRLINES D.D._____________________________________________________________</t>
  </si>
  <si>
    <t>Obveznik: CROATIA AIRLINES D.D. _____________________________________________________________</t>
  </si>
  <si>
    <t>5110</t>
  </si>
  <si>
    <t>bu-ha@croatiaairlines.hr</t>
  </si>
  <si>
    <t>u razdoblju 01.01.2011. do 30.09.2011.</t>
  </si>
  <si>
    <t>stanje na dan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</si>
</sst>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9" xfId="0" applyFill="1" applyBorder="1" applyAlignment="1">
      <alignment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atiaairlines.hr/" TargetMode="External" /><Relationship Id="rId2" Type="http://schemas.openxmlformats.org/officeDocument/2006/relationships/hyperlink" Target="mailto:vesna.mikulec@croatiaairlines.hr" TargetMode="External" /><Relationship Id="rId3" Type="http://schemas.openxmlformats.org/officeDocument/2006/relationships/hyperlink" Target="mailto:bu-ha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248</v>
      </c>
      <c r="B1" s="180"/>
      <c r="C1" s="180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36" t="s">
        <v>249</v>
      </c>
      <c r="B2" s="137"/>
      <c r="C2" s="137"/>
      <c r="D2" s="138"/>
      <c r="E2" s="116" t="s">
        <v>323</v>
      </c>
      <c r="F2" s="11"/>
      <c r="G2" s="12" t="s">
        <v>250</v>
      </c>
      <c r="H2" s="116">
        <v>40816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15">
      <c r="A4" s="139" t="s">
        <v>317</v>
      </c>
      <c r="B4" s="140"/>
      <c r="C4" s="140"/>
      <c r="D4" s="140"/>
      <c r="E4" s="140"/>
      <c r="F4" s="140"/>
      <c r="G4" s="140"/>
      <c r="H4" s="140"/>
      <c r="I4" s="141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42" t="s">
        <v>251</v>
      </c>
      <c r="B6" s="143"/>
      <c r="C6" s="134" t="s">
        <v>324</v>
      </c>
      <c r="D6" s="135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144" t="s">
        <v>252</v>
      </c>
      <c r="B8" s="145"/>
      <c r="C8" s="134" t="s">
        <v>325</v>
      </c>
      <c r="D8" s="135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9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31" t="s">
        <v>253</v>
      </c>
      <c r="B10" s="132"/>
      <c r="C10" s="134" t="s">
        <v>326</v>
      </c>
      <c r="D10" s="135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133"/>
      <c r="B11" s="132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42" t="s">
        <v>254</v>
      </c>
      <c r="B12" s="143"/>
      <c r="C12" s="146" t="s">
        <v>327</v>
      </c>
      <c r="D12" s="147"/>
      <c r="E12" s="147"/>
      <c r="F12" s="147"/>
      <c r="G12" s="147"/>
      <c r="H12" s="147"/>
      <c r="I12" s="148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42" t="s">
        <v>255</v>
      </c>
      <c r="B14" s="143"/>
      <c r="C14" s="149">
        <v>10010</v>
      </c>
      <c r="D14" s="150"/>
      <c r="E14" s="15"/>
      <c r="F14" s="146" t="s">
        <v>328</v>
      </c>
      <c r="G14" s="147"/>
      <c r="H14" s="147"/>
      <c r="I14" s="148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42" t="s">
        <v>256</v>
      </c>
      <c r="B16" s="143"/>
      <c r="C16" s="146" t="s">
        <v>329</v>
      </c>
      <c r="D16" s="147"/>
      <c r="E16" s="147"/>
      <c r="F16" s="147"/>
      <c r="G16" s="147"/>
      <c r="H16" s="147"/>
      <c r="I16" s="148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42" t="s">
        <v>257</v>
      </c>
      <c r="B18" s="143"/>
      <c r="C18" s="151" t="s">
        <v>341</v>
      </c>
      <c r="D18" s="152"/>
      <c r="E18" s="152"/>
      <c r="F18" s="152"/>
      <c r="G18" s="152"/>
      <c r="H18" s="152"/>
      <c r="I18" s="153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42" t="s">
        <v>258</v>
      </c>
      <c r="B20" s="143"/>
      <c r="C20" s="151" t="s">
        <v>330</v>
      </c>
      <c r="D20" s="152"/>
      <c r="E20" s="152"/>
      <c r="F20" s="152"/>
      <c r="G20" s="152"/>
      <c r="H20" s="152"/>
      <c r="I20" s="153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42" t="s">
        <v>259</v>
      </c>
      <c r="B22" s="143"/>
      <c r="C22" s="117">
        <v>133</v>
      </c>
      <c r="D22" s="146" t="s">
        <v>328</v>
      </c>
      <c r="E22" s="154"/>
      <c r="F22" s="155"/>
      <c r="G22" s="142"/>
      <c r="H22" s="156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42" t="s">
        <v>260</v>
      </c>
      <c r="B24" s="143"/>
      <c r="C24" s="117">
        <v>21</v>
      </c>
      <c r="D24" s="146" t="s">
        <v>331</v>
      </c>
      <c r="E24" s="154"/>
      <c r="F24" s="154"/>
      <c r="G24" s="155"/>
      <c r="H24" s="50" t="s">
        <v>261</v>
      </c>
      <c r="I24" s="129">
        <f>1141</f>
        <v>1141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318</v>
      </c>
      <c r="I25" s="94"/>
      <c r="J25" s="9"/>
      <c r="K25" s="9"/>
      <c r="L25" s="9"/>
    </row>
    <row r="26" spans="1:12" ht="12.75">
      <c r="A26" s="142" t="s">
        <v>262</v>
      </c>
      <c r="B26" s="143"/>
      <c r="C26" s="118" t="s">
        <v>332</v>
      </c>
      <c r="D26" s="24"/>
      <c r="E26" s="32"/>
      <c r="F26" s="23"/>
      <c r="G26" s="157" t="s">
        <v>263</v>
      </c>
      <c r="H26" s="143"/>
      <c r="I26" s="128" t="s">
        <v>340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58" t="s">
        <v>264</v>
      </c>
      <c r="B28" s="159"/>
      <c r="C28" s="160"/>
      <c r="D28" s="160"/>
      <c r="E28" s="161" t="s">
        <v>265</v>
      </c>
      <c r="F28" s="162"/>
      <c r="G28" s="162"/>
      <c r="H28" s="163" t="s">
        <v>266</v>
      </c>
      <c r="I28" s="164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65"/>
      <c r="B30" s="166"/>
      <c r="C30" s="166"/>
      <c r="D30" s="167"/>
      <c r="E30" s="165"/>
      <c r="F30" s="166"/>
      <c r="G30" s="166"/>
      <c r="H30" s="134"/>
      <c r="I30" s="135"/>
      <c r="J30" s="9"/>
      <c r="K30" s="9"/>
      <c r="L30" s="9"/>
    </row>
    <row r="31" spans="1:12" ht="12.75">
      <c r="A31" s="90"/>
      <c r="B31" s="21"/>
      <c r="C31" s="20"/>
      <c r="D31" s="168"/>
      <c r="E31" s="168"/>
      <c r="F31" s="168"/>
      <c r="G31" s="169"/>
      <c r="H31" s="15"/>
      <c r="I31" s="97"/>
      <c r="J31" s="9"/>
      <c r="K31" s="9"/>
      <c r="L31" s="9"/>
    </row>
    <row r="32" spans="1:12" ht="12.75">
      <c r="A32" s="165"/>
      <c r="B32" s="166"/>
      <c r="C32" s="166"/>
      <c r="D32" s="167"/>
      <c r="E32" s="165"/>
      <c r="F32" s="166"/>
      <c r="G32" s="166"/>
      <c r="H32" s="134"/>
      <c r="I32" s="135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65"/>
      <c r="B34" s="166"/>
      <c r="C34" s="166"/>
      <c r="D34" s="167"/>
      <c r="E34" s="165"/>
      <c r="F34" s="166"/>
      <c r="G34" s="166"/>
      <c r="H34" s="134"/>
      <c r="I34" s="135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65"/>
      <c r="B36" s="166"/>
      <c r="C36" s="166"/>
      <c r="D36" s="167"/>
      <c r="E36" s="165"/>
      <c r="F36" s="166"/>
      <c r="G36" s="166"/>
      <c r="H36" s="134"/>
      <c r="I36" s="135"/>
      <c r="J36" s="9"/>
      <c r="K36" s="9"/>
      <c r="L36" s="9"/>
    </row>
    <row r="37" spans="1:12" ht="12.75">
      <c r="A37" s="99"/>
      <c r="B37" s="29"/>
      <c r="C37" s="170"/>
      <c r="D37" s="171"/>
      <c r="E37" s="15"/>
      <c r="F37" s="170"/>
      <c r="G37" s="171"/>
      <c r="H37" s="15"/>
      <c r="I37" s="91"/>
      <c r="J37" s="9"/>
      <c r="K37" s="9"/>
      <c r="L37" s="9"/>
    </row>
    <row r="38" spans="1:12" ht="12.75">
      <c r="A38" s="165"/>
      <c r="B38" s="166"/>
      <c r="C38" s="166"/>
      <c r="D38" s="167"/>
      <c r="E38" s="165"/>
      <c r="F38" s="166"/>
      <c r="G38" s="166"/>
      <c r="H38" s="134"/>
      <c r="I38" s="135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65"/>
      <c r="B40" s="166"/>
      <c r="C40" s="166"/>
      <c r="D40" s="167"/>
      <c r="E40" s="165"/>
      <c r="F40" s="166"/>
      <c r="G40" s="166"/>
      <c r="H40" s="134"/>
      <c r="I40" s="135"/>
      <c r="J40" s="9"/>
      <c r="K40" s="9"/>
      <c r="L40" s="9"/>
    </row>
    <row r="41" spans="1:12" ht="12.75">
      <c r="A41" s="119"/>
      <c r="B41" s="32"/>
      <c r="C41" s="32"/>
      <c r="D41" s="32"/>
      <c r="E41" s="22"/>
      <c r="F41" s="120"/>
      <c r="G41" s="120"/>
      <c r="H41" s="121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31" t="s">
        <v>267</v>
      </c>
      <c r="B44" s="175"/>
      <c r="C44" s="134"/>
      <c r="D44" s="135"/>
      <c r="E44" s="25"/>
      <c r="F44" s="146"/>
      <c r="G44" s="166"/>
      <c r="H44" s="166"/>
      <c r="I44" s="167"/>
      <c r="J44" s="9"/>
      <c r="K44" s="9"/>
      <c r="L44" s="9"/>
    </row>
    <row r="45" spans="1:12" ht="12.75">
      <c r="A45" s="99"/>
      <c r="B45" s="29"/>
      <c r="C45" s="170"/>
      <c r="D45" s="171"/>
      <c r="E45" s="15"/>
      <c r="F45" s="170"/>
      <c r="G45" s="172"/>
      <c r="H45" s="34"/>
      <c r="I45" s="103"/>
      <c r="J45" s="9"/>
      <c r="K45" s="9"/>
      <c r="L45" s="9"/>
    </row>
    <row r="46" spans="1:12" ht="12.75">
      <c r="A46" s="131" t="s">
        <v>268</v>
      </c>
      <c r="B46" s="175"/>
      <c r="C46" s="146" t="s">
        <v>333</v>
      </c>
      <c r="D46" s="173"/>
      <c r="E46" s="173"/>
      <c r="F46" s="173"/>
      <c r="G46" s="173"/>
      <c r="H46" s="173"/>
      <c r="I46" s="174"/>
      <c r="J46" s="9"/>
      <c r="K46" s="9"/>
      <c r="L46" s="9"/>
    </row>
    <row r="47" spans="1:12" ht="12.75">
      <c r="A47" s="90"/>
      <c r="B47" s="21"/>
      <c r="C47" s="20" t="s">
        <v>269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31" t="s">
        <v>270</v>
      </c>
      <c r="B48" s="175"/>
      <c r="C48" s="176" t="s">
        <v>334</v>
      </c>
      <c r="D48" s="177"/>
      <c r="E48" s="178"/>
      <c r="F48" s="15"/>
      <c r="G48" s="50" t="s">
        <v>271</v>
      </c>
      <c r="H48" s="176" t="s">
        <v>335</v>
      </c>
      <c r="I48" s="178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31" t="s">
        <v>257</v>
      </c>
      <c r="B50" s="175"/>
      <c r="C50" s="187" t="s">
        <v>336</v>
      </c>
      <c r="D50" s="177"/>
      <c r="E50" s="177"/>
      <c r="F50" s="177"/>
      <c r="G50" s="177"/>
      <c r="H50" s="177"/>
      <c r="I50" s="178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42" t="s">
        <v>272</v>
      </c>
      <c r="B52" s="143"/>
      <c r="C52" s="176" t="s">
        <v>337</v>
      </c>
      <c r="D52" s="177"/>
      <c r="E52" s="177"/>
      <c r="F52" s="177"/>
      <c r="G52" s="177"/>
      <c r="H52" s="177"/>
      <c r="I52" s="148"/>
      <c r="J52" s="9"/>
      <c r="K52" s="9"/>
      <c r="L52" s="9"/>
    </row>
    <row r="53" spans="1:12" ht="12.75">
      <c r="A53" s="104"/>
      <c r="B53" s="19"/>
      <c r="C53" s="181" t="s">
        <v>273</v>
      </c>
      <c r="D53" s="181"/>
      <c r="E53" s="181"/>
      <c r="F53" s="181"/>
      <c r="G53" s="181"/>
      <c r="H53" s="181"/>
      <c r="I53" s="105"/>
      <c r="J53" s="9"/>
      <c r="K53" s="9"/>
      <c r="L53" s="9"/>
    </row>
    <row r="54" spans="1:12" ht="12.75">
      <c r="A54" s="104"/>
      <c r="B54" s="19"/>
      <c r="C54" s="35"/>
      <c r="D54" s="35"/>
      <c r="E54" s="35"/>
      <c r="F54" s="35"/>
      <c r="G54" s="35"/>
      <c r="H54" s="35"/>
      <c r="I54" s="105"/>
      <c r="J54" s="9"/>
      <c r="K54" s="9"/>
      <c r="L54" s="9"/>
    </row>
    <row r="55" spans="1:12" ht="12.75">
      <c r="A55" s="104"/>
      <c r="B55" s="188" t="s">
        <v>274</v>
      </c>
      <c r="C55" s="189"/>
      <c r="D55" s="189"/>
      <c r="E55" s="189"/>
      <c r="F55" s="48"/>
      <c r="G55" s="48"/>
      <c r="H55" s="48"/>
      <c r="I55" s="106"/>
      <c r="J55" s="9"/>
      <c r="K55" s="9"/>
      <c r="L55" s="9"/>
    </row>
    <row r="56" spans="1:12" ht="12.75">
      <c r="A56" s="104"/>
      <c r="B56" s="190" t="s">
        <v>306</v>
      </c>
      <c r="C56" s="191"/>
      <c r="D56" s="191"/>
      <c r="E56" s="191"/>
      <c r="F56" s="191"/>
      <c r="G56" s="191"/>
      <c r="H56" s="191"/>
      <c r="I56" s="192"/>
      <c r="J56" s="9"/>
      <c r="K56" s="9"/>
      <c r="L56" s="9"/>
    </row>
    <row r="57" spans="1:12" ht="12.75">
      <c r="A57" s="104"/>
      <c r="B57" s="190" t="s">
        <v>307</v>
      </c>
      <c r="C57" s="191"/>
      <c r="D57" s="191"/>
      <c r="E57" s="191"/>
      <c r="F57" s="191"/>
      <c r="G57" s="191"/>
      <c r="H57" s="191"/>
      <c r="I57" s="106"/>
      <c r="J57" s="9"/>
      <c r="K57" s="9"/>
      <c r="L57" s="9"/>
    </row>
    <row r="58" spans="1:12" ht="12.75">
      <c r="A58" s="104"/>
      <c r="B58" s="190" t="s">
        <v>308</v>
      </c>
      <c r="C58" s="191"/>
      <c r="D58" s="191"/>
      <c r="E58" s="191"/>
      <c r="F58" s="191"/>
      <c r="G58" s="191"/>
      <c r="H58" s="191"/>
      <c r="I58" s="192"/>
      <c r="J58" s="9"/>
      <c r="K58" s="9"/>
      <c r="L58" s="9"/>
    </row>
    <row r="59" spans="1:12" ht="12.75">
      <c r="A59" s="104"/>
      <c r="B59" s="190" t="s">
        <v>309</v>
      </c>
      <c r="C59" s="191"/>
      <c r="D59" s="191"/>
      <c r="E59" s="191"/>
      <c r="F59" s="191"/>
      <c r="G59" s="191"/>
      <c r="H59" s="191"/>
      <c r="I59" s="192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275</v>
      </c>
      <c r="B61" s="15"/>
      <c r="C61" s="15"/>
      <c r="D61" s="15"/>
      <c r="E61" s="15"/>
      <c r="F61" s="15"/>
      <c r="G61" s="36"/>
      <c r="H61" s="37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276</v>
      </c>
      <c r="F62" s="32"/>
      <c r="G62" s="182" t="s">
        <v>277</v>
      </c>
      <c r="H62" s="183"/>
      <c r="I62" s="184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85"/>
      <c r="H63" s="186"/>
      <c r="I63" s="115"/>
      <c r="J63" s="9"/>
      <c r="K63" s="9"/>
      <c r="L63" s="9"/>
    </row>
  </sheetData>
  <sheetProtection/>
  <protectedRanges>
    <protectedRange sqref="C18:I18 C20:I20 I26 I24 A30:I30 A32:I32 A34:D34" name="Range1"/>
    <protectedRange sqref="E2" name="Range1_1"/>
    <protectedRange sqref="H2" name="Range1_2"/>
    <protectedRange sqref="C6:D6" name="Range1_1_1"/>
    <protectedRange sqref="C8:D8" name="Range1_2_1"/>
    <protectedRange sqref="C10:D10" name="Range1_3"/>
    <protectedRange sqref="C12:I12" name="Range1_4"/>
    <protectedRange sqref="C14:D14 F14:I14" name="Range1_5"/>
    <protectedRange sqref="C16:I16" name="Range1_6"/>
    <protectedRange sqref="C22:F22" name="Range1_6_1"/>
    <protectedRange sqref="C24:G24" name="Range1_6_2"/>
    <protectedRange sqref="C26" name="Range1_6_4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20" r:id="rId1" display="www.croatiaairlines.hr"/>
    <hyperlink ref="C50" r:id="rId2" display="vesna.mikulec@croatiaairlines.hr"/>
    <hyperlink ref="C18" r:id="rId3" display="bu-ha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99" zoomScaleSheetLayoutView="99" zoomScalePageLayoutView="0" workbookViewId="0" topLeftCell="A1">
      <selection activeCell="K22" sqref="K22"/>
    </sheetView>
  </sheetViews>
  <sheetFormatPr defaultColWidth="9.140625" defaultRowHeight="12.75"/>
  <cols>
    <col min="1" max="6" width="9.140625" style="51" customWidth="1"/>
    <col min="7" max="7" width="5.00390625" style="51" customWidth="1"/>
    <col min="8" max="8" width="4.00390625" style="51" customWidth="1"/>
    <col min="9" max="9" width="9.140625" style="51" customWidth="1"/>
    <col min="10" max="10" width="13.421875" style="51" customWidth="1"/>
    <col min="11" max="11" width="14.421875" style="51" customWidth="1"/>
    <col min="12" max="12" width="9.140625" style="51" customWidth="1"/>
    <col min="13" max="16384" width="9.140625" style="51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6" t="s">
        <v>278</v>
      </c>
      <c r="J4" s="57" t="s">
        <v>319</v>
      </c>
      <c r="K4" s="58" t="s">
        <v>320</v>
      </c>
    </row>
    <row r="5" spans="1:11" ht="8.25" customHeight="1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54">
        <v>3</v>
      </c>
      <c r="K5" s="54">
        <v>4</v>
      </c>
    </row>
    <row r="6" spans="1:11" ht="6.75" customHeight="1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2">
        <v>1</v>
      </c>
      <c r="J7" s="5"/>
      <c r="K7" s="5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122">
        <f>J9+J16+J26+J35+J39</f>
        <v>1326910957</v>
      </c>
      <c r="K8" s="122">
        <f>K9+K16+K26+K35+K39</f>
        <v>1267331256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122">
        <f>SUM(J10:J15)</f>
        <v>16640142</v>
      </c>
      <c r="K9" s="122">
        <f>SUM(K10:K15)</f>
        <v>15023312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6">
        <v>0</v>
      </c>
      <c r="K10" s="6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6">
        <v>16629020</v>
      </c>
      <c r="K11" s="6">
        <v>15012190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6">
        <v>0</v>
      </c>
      <c r="K12" s="6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6">
        <v>0</v>
      </c>
      <c r="K13" s="6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6">
        <v>11122</v>
      </c>
      <c r="K14" s="6">
        <v>11122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6">
        <v>0</v>
      </c>
      <c r="K15" s="6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122">
        <f>SUM(J17:J25)</f>
        <v>1272756271</v>
      </c>
      <c r="K16" s="122">
        <f>SUM(K17:K25)</f>
        <v>1197713650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6">
        <v>24528160</v>
      </c>
      <c r="K17" s="6">
        <v>24528160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6">
        <v>34753339</v>
      </c>
      <c r="K18" s="6">
        <v>32477584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6">
        <v>104952427</v>
      </c>
      <c r="K19" s="6">
        <v>100390937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6">
        <v>1054766190</v>
      </c>
      <c r="K20" s="6">
        <v>975797198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6">
        <v>0</v>
      </c>
      <c r="K21" s="6">
        <v>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6">
        <v>42116037</v>
      </c>
      <c r="K22" s="6">
        <v>41553623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6">
        <v>10039374</v>
      </c>
      <c r="K23" s="6">
        <v>21575873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6">
        <v>1600744</v>
      </c>
      <c r="K24" s="6">
        <v>1390275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6">
        <v>0</v>
      </c>
      <c r="K25" s="6">
        <v>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122">
        <f>SUM(J27:J34)</f>
        <v>37011829</v>
      </c>
      <c r="K26" s="122">
        <f>SUM(K27:K34)</f>
        <v>54091579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6">
        <v>5110400</v>
      </c>
      <c r="K27" s="6">
        <v>5110400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6">
        <v>0</v>
      </c>
      <c r="K28" s="6">
        <v>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6">
        <v>0</v>
      </c>
      <c r="K29" s="6">
        <v>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6">
        <v>0</v>
      </c>
      <c r="K30" s="6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6">
        <v>1702800</v>
      </c>
      <c r="K31" s="6">
        <v>1702800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6">
        <v>30198629</v>
      </c>
      <c r="K32" s="6">
        <v>47278379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6">
        <v>0</v>
      </c>
      <c r="K33" s="6">
        <v>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6">
        <v>0</v>
      </c>
      <c r="K34" s="6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122">
        <f>SUM(J36:J38)</f>
        <v>502715</v>
      </c>
      <c r="K35" s="122">
        <f>SUM(K36:K38)</f>
        <v>502715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6">
        <v>0</v>
      </c>
      <c r="K36" s="6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6">
        <v>0</v>
      </c>
      <c r="K37" s="6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6">
        <v>502715</v>
      </c>
      <c r="K38" s="6">
        <v>502715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6">
        <v>0</v>
      </c>
      <c r="K39" s="6">
        <v>0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122">
        <f>J41+J49+J56+J64</f>
        <v>216812691</v>
      </c>
      <c r="K40" s="122">
        <f>K41+K49+K56+K64</f>
        <v>297411544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122">
        <f>SUM(J42:J48)</f>
        <v>38121918</v>
      </c>
      <c r="K41" s="122">
        <f>SUM(K42:K48)</f>
        <v>43893843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6">
        <v>38121918</v>
      </c>
      <c r="K42" s="6">
        <v>43893843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6">
        <v>0</v>
      </c>
      <c r="K43" s="6">
        <v>0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6">
        <v>0</v>
      </c>
      <c r="K44" s="6">
        <v>0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6">
        <v>0</v>
      </c>
      <c r="K45" s="6">
        <v>0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6">
        <v>0</v>
      </c>
      <c r="K46" s="6">
        <v>0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6">
        <v>0</v>
      </c>
      <c r="K47" s="6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6">
        <v>0</v>
      </c>
      <c r="K48" s="6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122">
        <f>SUM(J50:J55)</f>
        <v>125102325</v>
      </c>
      <c r="K49" s="122">
        <f>SUM(K50:K55)</f>
        <v>174807281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6">
        <v>132987</v>
      </c>
      <c r="K50" s="6">
        <v>81849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6">
        <v>71594005</v>
      </c>
      <c r="K51" s="6">
        <v>126610572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6">
        <v>0</v>
      </c>
      <c r="K52" s="6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6">
        <v>286511</v>
      </c>
      <c r="K53" s="6">
        <v>252506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6">
        <v>44656798</v>
      </c>
      <c r="K54" s="6">
        <v>34867123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6">
        <v>8432024</v>
      </c>
      <c r="K55" s="6">
        <v>12995231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122">
        <f>SUM(J57:J63)</f>
        <v>2226324</v>
      </c>
      <c r="K56" s="122">
        <f>SUM(K57:K63)</f>
        <v>7315295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6">
        <v>0</v>
      </c>
      <c r="K57" s="6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6">
        <v>0</v>
      </c>
      <c r="K58" s="6">
        <v>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6">
        <v>0</v>
      </c>
      <c r="K59" s="6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6">
        <v>0</v>
      </c>
      <c r="K60" s="6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6">
        <v>183</v>
      </c>
      <c r="K61" s="6">
        <v>182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6">
        <v>1981867</v>
      </c>
      <c r="K62" s="6">
        <v>7099364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6">
        <v>244274</v>
      </c>
      <c r="K63" s="6">
        <v>215749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6">
        <v>51362124</v>
      </c>
      <c r="K64" s="6">
        <v>71395125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123">
        <v>36941629</v>
      </c>
      <c r="K65" s="6">
        <v>46679140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122">
        <f>J7+J8+J40+J65</f>
        <v>1580665277</v>
      </c>
      <c r="K66" s="122">
        <f>K7+K8+K40+K65</f>
        <v>1611421940</v>
      </c>
    </row>
    <row r="67" spans="1:11" ht="12.75">
      <c r="A67" s="195" t="s">
        <v>91</v>
      </c>
      <c r="B67" s="196"/>
      <c r="C67" s="196"/>
      <c r="D67" s="196"/>
      <c r="E67" s="196"/>
      <c r="F67" s="196"/>
      <c r="G67" s="196"/>
      <c r="H67" s="197"/>
      <c r="I67" s="3">
        <v>61</v>
      </c>
      <c r="J67" s="7"/>
      <c r="K67" s="7"/>
    </row>
    <row r="68" spans="1:11" ht="12.75">
      <c r="A68" s="198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2">
        <v>62</v>
      </c>
      <c r="J69" s="124">
        <f>J70+J71+J72+J78+J79+J82+J85</f>
        <v>140596241</v>
      </c>
      <c r="K69" s="124">
        <f>K70+K71+K72+K78+K79+K82+K85</f>
        <v>84179537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6">
        <v>989975500</v>
      </c>
      <c r="K70" s="6">
        <v>989975500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6">
        <v>0</v>
      </c>
      <c r="K71" s="6">
        <v>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122">
        <f>J73+J74-J75+J76+J77</f>
        <v>-1411845</v>
      </c>
      <c r="K72" s="122">
        <f>K73+K74-K75+K76+K77</f>
        <v>-8665373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6">
        <v>931483</v>
      </c>
      <c r="K73" s="6">
        <v>931483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6">
        <v>0</v>
      </c>
      <c r="K74" s="6">
        <v>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6">
        <v>32600</v>
      </c>
      <c r="K75" s="6">
        <v>32600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6">
        <v>0</v>
      </c>
      <c r="K76" s="6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6">
        <v>-2310728</v>
      </c>
      <c r="K77" s="6">
        <v>-9564256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6">
        <v>100864360</v>
      </c>
      <c r="K78" s="6">
        <v>91302993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122">
        <f>J80-J81</f>
        <v>-792277992</v>
      </c>
      <c r="K79" s="122">
        <f>K80-K81</f>
        <v>-948831774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0</v>
      </c>
      <c r="K80" s="6">
        <v>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792277992</v>
      </c>
      <c r="K81" s="6">
        <v>948831774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122">
        <f>J83-J84</f>
        <v>-156553782</v>
      </c>
      <c r="K82" s="122">
        <f>K83-K84</f>
        <v>-39601809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0</v>
      </c>
      <c r="K83" s="6">
        <v>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156553782</v>
      </c>
      <c r="K84" s="6">
        <v>39601809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6">
        <v>0</v>
      </c>
      <c r="K85" s="6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122">
        <f>SUM(J87:J89)</f>
        <v>840321</v>
      </c>
      <c r="K86" s="122">
        <f>SUM(K87:K89)</f>
        <v>855996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6">
        <v>0</v>
      </c>
      <c r="K87" s="6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6">
        <v>0</v>
      </c>
      <c r="K88" s="6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6">
        <v>840321</v>
      </c>
      <c r="K89" s="6">
        <v>855996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122">
        <f>SUM(J91:J99)</f>
        <v>837604458</v>
      </c>
      <c r="K90" s="122">
        <f>SUM(K91:K99)</f>
        <v>850091046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6">
        <v>0</v>
      </c>
      <c r="K91" s="6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6">
        <v>43378</v>
      </c>
      <c r="K92" s="6">
        <v>43378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6">
        <v>563545509</v>
      </c>
      <c r="K93" s="6">
        <v>488727373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6">
        <v>0</v>
      </c>
      <c r="K94" s="6">
        <v>0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6">
        <v>0</v>
      </c>
      <c r="K95" s="6">
        <v>0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6">
        <v>0</v>
      </c>
      <c r="K96" s="6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6">
        <v>0</v>
      </c>
      <c r="K97" s="6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6">
        <v>274015571</v>
      </c>
      <c r="K98" s="6">
        <v>361320295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6">
        <v>0</v>
      </c>
      <c r="K99" s="6">
        <v>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22">
        <f>SUM(J101:J112)</f>
        <v>590167973</v>
      </c>
      <c r="K100" s="122">
        <f>SUM(K101:K112)</f>
        <v>634694922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6">
        <v>2425354</v>
      </c>
      <c r="K101" s="6">
        <v>1023353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6">
        <v>1484165</v>
      </c>
      <c r="K102" s="6">
        <v>8988149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6">
        <v>194063472</v>
      </c>
      <c r="K103" s="6">
        <v>198676760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6">
        <v>5880085</v>
      </c>
      <c r="K104" s="6">
        <v>6814085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6">
        <v>217494070</v>
      </c>
      <c r="K105" s="6">
        <v>206517317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6">
        <v>0</v>
      </c>
      <c r="K106" s="6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6">
        <v>0</v>
      </c>
      <c r="K107" s="6">
        <v>0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6">
        <v>10028979</v>
      </c>
      <c r="K108" s="6">
        <v>10636620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6">
        <v>8923646</v>
      </c>
      <c r="K109" s="6">
        <v>10818013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6">
        <v>227109</v>
      </c>
      <c r="K110" s="6">
        <v>227109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6">
        <v>0</v>
      </c>
      <c r="K111" s="6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6">
        <v>149641093</v>
      </c>
      <c r="K112" s="6">
        <v>190993516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123">
        <v>11456284</v>
      </c>
      <c r="K113" s="123">
        <v>41600439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22">
        <f>J69+J86+J90+J100+J113</f>
        <v>1580665277</v>
      </c>
      <c r="K114" s="122">
        <f>K69+K86+K90+K100+K113</f>
        <v>1611421940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3">
        <v>108</v>
      </c>
      <c r="J115" s="7"/>
      <c r="K115" s="7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6"/>
      <c r="K118" s="6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3">
        <v>110</v>
      </c>
      <c r="J119" s="7"/>
      <c r="K119" s="7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J67 J82 J72 J114:J115 J7:J9 J16 J26 J35 J40:J41 J49 J56 K78:K115 J79 J86 J90 J100 K70:K76 K7:K62 K64:K67">
      <formula1>0</formula1>
    </dataValidation>
    <dataValidation allowBlank="1" sqref="J10:J15 J17:J25 J27:J34 J36:J39 J42:J48 J50:J55 J57:J65 J70:J71 J73:J78 J80:J81 J83:J85 J87:J89 J91:J99 J101:J113 J118:K118 K77 K6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04" zoomScaleSheetLayoutView="104" zoomScalePageLayoutView="0" workbookViewId="0" topLeftCell="A1">
      <pane ySplit="6" topLeftCell="A43" activePane="bottomLeft" state="frozen"/>
      <selection pane="topLeft" activeCell="A1" sqref="A1"/>
      <selection pane="bottomLeft" activeCell="K61" sqref="K61"/>
    </sheetView>
  </sheetViews>
  <sheetFormatPr defaultColWidth="9.140625" defaultRowHeight="12.75"/>
  <cols>
    <col min="1" max="5" width="9.140625" style="51" customWidth="1"/>
    <col min="6" max="6" width="8.00390625" style="51" customWidth="1"/>
    <col min="7" max="7" width="3.28125" style="51" customWidth="1"/>
    <col min="8" max="8" width="1.8515625" style="51" customWidth="1"/>
    <col min="9" max="9" width="9.140625" style="51" customWidth="1"/>
    <col min="10" max="10" width="10.7109375" style="51" bestFit="1" customWidth="1"/>
    <col min="11" max="11" width="10.57421875" style="51" bestFit="1" customWidth="1"/>
    <col min="12" max="12" width="10.8515625" style="51" bestFit="1" customWidth="1"/>
    <col min="13" max="13" width="10.28125" style="51" customWidth="1"/>
    <col min="14" max="16384" width="9.140625" style="51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2" t="s">
        <v>339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6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2">
        <v>111</v>
      </c>
      <c r="J7" s="124">
        <f>SUM(J8:J9)</f>
        <v>1051543406</v>
      </c>
      <c r="K7" s="124">
        <f>SUM(K8:K9)</f>
        <v>447869531</v>
      </c>
      <c r="L7" s="124">
        <f>SUM(L8:L9)</f>
        <v>1228201161</v>
      </c>
      <c r="M7" s="124">
        <f>SUM(M8:M9)</f>
        <v>536015299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6">
        <v>920096072</v>
      </c>
      <c r="K8" s="6">
        <f>J8-511803271</f>
        <v>408292801</v>
      </c>
      <c r="L8" s="6">
        <v>1103671801</v>
      </c>
      <c r="M8" s="6">
        <f>L8-603856154</f>
        <v>499815647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6">
        <v>131447334</v>
      </c>
      <c r="K9" s="6">
        <f>J9-91870604</f>
        <v>39576730</v>
      </c>
      <c r="L9" s="6">
        <v>124529360</v>
      </c>
      <c r="M9" s="6">
        <f>L9-88329708</f>
        <v>36199652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122">
        <f>J11+J12+J16+J20+J21+J22+J25+J26</f>
        <v>1144109767</v>
      </c>
      <c r="K10" s="122">
        <f>K11+K12+K16+K20+K21+K22+K25+K26</f>
        <v>410856930</v>
      </c>
      <c r="L10" s="122">
        <f>L11+L12+L16+L20+L21+L22+L25+L26</f>
        <v>1251462012</v>
      </c>
      <c r="M10" s="122">
        <f>M11+M12+M16+M20+M21+M22+M25+M26</f>
        <v>468181206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122">
        <f>SUM(J13:J15)</f>
        <v>783839250</v>
      </c>
      <c r="K12" s="122">
        <f>SUM(K13:K15)</f>
        <v>294345659</v>
      </c>
      <c r="L12" s="122">
        <f>SUM(L13:L15)</f>
        <v>901932136</v>
      </c>
      <c r="M12" s="122">
        <f>SUM(M13:M15)</f>
        <v>347825495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6">
        <v>224509943</v>
      </c>
      <c r="K13" s="6">
        <f>J13-134036288</f>
        <v>90473655</v>
      </c>
      <c r="L13" s="6">
        <v>309379517</v>
      </c>
      <c r="M13" s="6">
        <f>L13-182395588</f>
        <v>126983929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6">
        <v>3870194</v>
      </c>
      <c r="K14" s="6">
        <f>J14-2325382</f>
        <v>1544812</v>
      </c>
      <c r="L14" s="6">
        <v>5885508</v>
      </c>
      <c r="M14" s="6">
        <f>L14-3552964</f>
        <v>2332544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6">
        <v>555459113</v>
      </c>
      <c r="K15" s="6">
        <f>J15-353131921</f>
        <v>202327192</v>
      </c>
      <c r="L15" s="6">
        <v>586667111</v>
      </c>
      <c r="M15" s="6">
        <f>L15-368158089</f>
        <v>218509022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122">
        <f>SUM(J17:J19)</f>
        <v>173740678</v>
      </c>
      <c r="K16" s="122">
        <f>SUM(K17:K19)</f>
        <v>58909984</v>
      </c>
      <c r="L16" s="122">
        <f>SUM(L17:L19)</f>
        <v>179742459</v>
      </c>
      <c r="M16" s="122">
        <f>SUM(M17:M19)</f>
        <v>60996693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6">
        <v>86623383</v>
      </c>
      <c r="K17" s="6">
        <f>J17-56955446</f>
        <v>29667937</v>
      </c>
      <c r="L17" s="6">
        <v>92437548</v>
      </c>
      <c r="M17" s="6">
        <f>L17-61098078</f>
        <v>31339470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6">
        <v>54666212</v>
      </c>
      <c r="K18" s="6">
        <f>J18-36408284</f>
        <v>18257928</v>
      </c>
      <c r="L18" s="6">
        <v>53673226</v>
      </c>
      <c r="M18" s="6">
        <f>L18-35491305</f>
        <v>18181921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6">
        <v>32451083</v>
      </c>
      <c r="K19" s="6">
        <f>J19-21466964</f>
        <v>10984119</v>
      </c>
      <c r="L19" s="6">
        <v>33631685</v>
      </c>
      <c r="M19" s="6">
        <f>L19-22156383</f>
        <v>11475302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6">
        <v>110546704</v>
      </c>
      <c r="K20" s="6">
        <f>J20-74050379</f>
        <v>36496325</v>
      </c>
      <c r="L20" s="6">
        <v>104821147</v>
      </c>
      <c r="M20" s="6">
        <f>L20-70204486</f>
        <v>34616661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6">
        <v>58165228</v>
      </c>
      <c r="K21" s="6">
        <f>J21-37713553</f>
        <v>20451675</v>
      </c>
      <c r="L21" s="6">
        <v>56055399</v>
      </c>
      <c r="M21" s="6">
        <f>L21-36426789</f>
        <v>19628610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122">
        <f>SUM(J23:J24)</f>
        <v>3995977</v>
      </c>
      <c r="K22" s="122">
        <f>SUM(K23:K24)</f>
        <v>36152</v>
      </c>
      <c r="L22" s="122">
        <f>SUM(L23:L24)</f>
        <v>96137</v>
      </c>
      <c r="M22" s="122">
        <f>SUM(M23:M24)</f>
        <v>12548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6"/>
      <c r="K23" s="6">
        <v>0</v>
      </c>
      <c r="L23" s="6">
        <v>0</v>
      </c>
      <c r="M23" s="6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6">
        <v>3995977</v>
      </c>
      <c r="K24" s="6">
        <f>J24-3859825-100000</f>
        <v>36152</v>
      </c>
      <c r="L24" s="6">
        <v>96137</v>
      </c>
      <c r="M24" s="6">
        <f>L24-83589</f>
        <v>12548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6">
        <v>168438</v>
      </c>
      <c r="K25" s="6">
        <f>J25-168438</f>
        <v>0</v>
      </c>
      <c r="L25" s="6">
        <v>0</v>
      </c>
      <c r="M25" s="6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6">
        <v>13653492</v>
      </c>
      <c r="K26" s="6">
        <f>J26-13036357</f>
        <v>617135</v>
      </c>
      <c r="L26" s="6">
        <v>8814734</v>
      </c>
      <c r="M26" s="6">
        <f>L26-3713535</f>
        <v>5101199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122">
        <f>SUM(J28:J32)</f>
        <v>31334975</v>
      </c>
      <c r="K27" s="122">
        <f>SUM(K28:K32)</f>
        <v>65820</v>
      </c>
      <c r="L27" s="122">
        <f>SUM(L28:L32)</f>
        <v>39281946</v>
      </c>
      <c r="M27" s="122">
        <f>SUM(M28:M32)</f>
        <v>17644734</v>
      </c>
    </row>
    <row r="28" spans="1:13" ht="25.5" customHeight="1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6">
        <v>65820</v>
      </c>
      <c r="K28" s="6">
        <f>J28</f>
        <v>65820</v>
      </c>
      <c r="L28" s="6">
        <v>202206</v>
      </c>
      <c r="M28" s="6">
        <f>L28-202206</f>
        <v>0</v>
      </c>
    </row>
    <row r="29" spans="1:13" ht="25.5" customHeight="1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6">
        <v>31017396</v>
      </c>
      <c r="K29" s="6">
        <f>J29-31017396</f>
        <v>0</v>
      </c>
      <c r="L29" s="6">
        <v>39079740</v>
      </c>
      <c r="M29" s="6">
        <f>L29-21435008+2</f>
        <v>17644734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6">
        <v>251759</v>
      </c>
      <c r="K32" s="6">
        <f>J32-251759</f>
        <v>0</v>
      </c>
      <c r="L32" s="6">
        <v>0</v>
      </c>
      <c r="M32" s="6"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122">
        <f>SUM(J34:J37)</f>
        <v>48205444</v>
      </c>
      <c r="K33" s="122">
        <f>SUM(K34:K37)</f>
        <v>14913014</v>
      </c>
      <c r="L33" s="122">
        <f>SUM(L34:L37)</f>
        <v>55622904</v>
      </c>
      <c r="M33" s="122">
        <f>SUM(M34:M37)</f>
        <v>25104998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25.5" customHeight="1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6">
        <v>46963672</v>
      </c>
      <c r="K35" s="6">
        <f>J35+42678917-74729575</f>
        <v>14913014</v>
      </c>
      <c r="L35" s="6">
        <v>55622904</v>
      </c>
      <c r="M35" s="6">
        <f>L35-30517906</f>
        <v>25104998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6">
        <v>538233</v>
      </c>
      <c r="K36" s="6">
        <f>J36-538233</f>
        <v>0</v>
      </c>
      <c r="L36" s="6">
        <v>0</v>
      </c>
      <c r="M36" s="6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6">
        <v>703539</v>
      </c>
      <c r="K37" s="6">
        <f>J37-703539</f>
        <v>0</v>
      </c>
      <c r="L37" s="6">
        <v>0</v>
      </c>
      <c r="M37" s="6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122">
        <f>J7+J27+J38+J40</f>
        <v>1082878381</v>
      </c>
      <c r="K42" s="122">
        <f>K7+K27+K38+K40</f>
        <v>447935351</v>
      </c>
      <c r="L42" s="122">
        <f>L7+L27+L38+L40</f>
        <v>1267483107</v>
      </c>
      <c r="M42" s="122">
        <f>M7+M27+M38+M40</f>
        <v>553660033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122">
        <f>J10+J33+J39+J41</f>
        <v>1192315211</v>
      </c>
      <c r="K43" s="122">
        <f>K10+K33+K39+K41</f>
        <v>425769944</v>
      </c>
      <c r="L43" s="122">
        <f>L10+L33+L39+L41</f>
        <v>1307084916</v>
      </c>
      <c r="M43" s="122">
        <f>M10+M33+M39+M41</f>
        <v>493286204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122">
        <f>J42-J43</f>
        <v>-109436830</v>
      </c>
      <c r="K44" s="122">
        <f>K42-K43</f>
        <v>22165407</v>
      </c>
      <c r="L44" s="122">
        <f>L42-L43</f>
        <v>-39601809</v>
      </c>
      <c r="M44" s="122">
        <f>M42-M43</f>
        <v>60373829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122">
        <f>IF(J42&gt;J43,J42-J43,0)</f>
        <v>0</v>
      </c>
      <c r="K45" s="122">
        <f>IF(K42&gt;K43,K42-K43,0)</f>
        <v>22165407</v>
      </c>
      <c r="L45" s="122">
        <f>IF(L42&gt;L43,L42-L43,0)</f>
        <v>0</v>
      </c>
      <c r="M45" s="122">
        <f>IF(M42&gt;M43,M42-M43,0)</f>
        <v>60373829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122">
        <f>IF(J43&gt;J42,J43-J42,0)</f>
        <v>109436830</v>
      </c>
      <c r="K46" s="122">
        <f>IF(K43&gt;K42,K43-K42,0)</f>
        <v>0</v>
      </c>
      <c r="L46" s="122">
        <f>IF(L43&gt;L42,L43-L42,0)</f>
        <v>39601809</v>
      </c>
      <c r="M46" s="122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6"/>
      <c r="K47" s="6"/>
      <c r="L47" s="6"/>
      <c r="M47" s="6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122">
        <f>J44-J47</f>
        <v>-109436830</v>
      </c>
      <c r="K48" s="122">
        <f>K44-K47</f>
        <v>22165407</v>
      </c>
      <c r="L48" s="122">
        <f>L44-L47</f>
        <v>-39601809</v>
      </c>
      <c r="M48" s="122">
        <f>M44-M47</f>
        <v>60373829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122">
        <f>IF(J48&gt;0,J48,0)</f>
        <v>0</v>
      </c>
      <c r="K49" s="122">
        <f>IF(K48&gt;0,K48,0)</f>
        <v>22165407</v>
      </c>
      <c r="L49" s="122">
        <f>IF(L48&gt;0,L48,0)</f>
        <v>0</v>
      </c>
      <c r="M49" s="122">
        <f>IF(M48&gt;0,M48,0)</f>
        <v>60373829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3">
        <v>154</v>
      </c>
      <c r="J50" s="125">
        <f>IF(J48&lt;0,-J48,0)</f>
        <v>109436830</v>
      </c>
      <c r="K50" s="125">
        <f>IF(K48&lt;0,-K48,0)</f>
        <v>0</v>
      </c>
      <c r="L50" s="125">
        <f>IF(L48&lt;0,-L48,0)</f>
        <v>39601809</v>
      </c>
      <c r="M50" s="125">
        <f>IF(M48&lt;0,-M48,0)</f>
        <v>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3"/>
      <c r="J52" s="53"/>
      <c r="K52" s="53"/>
      <c r="L52" s="53"/>
      <c r="M52" s="130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6"/>
      <c r="K53" s="6"/>
      <c r="L53" s="6"/>
      <c r="M53" s="6"/>
    </row>
    <row r="54" spans="1:13" ht="12.75">
      <c r="A54" s="236" t="s">
        <v>235</v>
      </c>
      <c r="B54" s="237"/>
      <c r="C54" s="237"/>
      <c r="D54" s="237"/>
      <c r="E54" s="237"/>
      <c r="F54" s="237"/>
      <c r="G54" s="237"/>
      <c r="H54" s="238"/>
      <c r="I54" s="3">
        <v>156</v>
      </c>
      <c r="J54" s="7"/>
      <c r="K54" s="7"/>
      <c r="L54" s="7"/>
      <c r="M54" s="7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248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8">
        <v>157</v>
      </c>
      <c r="J56" s="5">
        <f>J48</f>
        <v>-109436830</v>
      </c>
      <c r="K56" s="5">
        <f>K48</f>
        <v>22165407</v>
      </c>
      <c r="L56" s="5">
        <f>L48</f>
        <v>-39601809</v>
      </c>
      <c r="M56" s="5">
        <f>+M49-M50</f>
        <v>60373829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122">
        <f>SUM(J58:J64)</f>
        <v>-588118</v>
      </c>
      <c r="K57" s="122">
        <f>SUM(K58:K64)</f>
        <v>-6678062</v>
      </c>
      <c r="L57" s="122">
        <f>SUM(L58:L64)</f>
        <v>-7253528</v>
      </c>
      <c r="M57" s="122">
        <f>SUM(M58:M64)</f>
        <v>-7962516.64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6"/>
      <c r="K58" s="6"/>
      <c r="L58" s="6"/>
      <c r="M58" s="6"/>
    </row>
    <row r="59" spans="1:13" ht="27" customHeight="1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6"/>
      <c r="K59" s="6"/>
      <c r="L59" s="6"/>
      <c r="M59" s="6"/>
    </row>
    <row r="60" spans="1:13" ht="25.5" customHeight="1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6"/>
      <c r="K60" s="6"/>
      <c r="L60" s="6"/>
      <c r="M60" s="6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6">
        <v>-588118</v>
      </c>
      <c r="K61" s="6">
        <f>J61-6089944</f>
        <v>-6678062</v>
      </c>
      <c r="L61" s="6">
        <v>-7253528</v>
      </c>
      <c r="M61" s="6">
        <f>L61-708988.64</f>
        <v>-7962516.64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6"/>
      <c r="K62" s="6"/>
      <c r="L62" s="6"/>
      <c r="M62" s="6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6"/>
      <c r="K63" s="6"/>
      <c r="L63" s="6"/>
      <c r="M63" s="6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6"/>
      <c r="K64" s="6"/>
      <c r="L64" s="6"/>
      <c r="M64" s="6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6"/>
      <c r="K65" s="6"/>
      <c r="L65" s="6"/>
      <c r="M65" s="6"/>
    </row>
    <row r="66" spans="1:13" ht="25.5" customHeight="1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122">
        <f>J57-J65</f>
        <v>-588118</v>
      </c>
      <c r="K66" s="122">
        <f>K57-K65</f>
        <v>-6678062</v>
      </c>
      <c r="L66" s="122">
        <f>L57-L65</f>
        <v>-7253528</v>
      </c>
      <c r="M66" s="122">
        <f>M57-M65</f>
        <v>-7962516.64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125">
        <f>J56+J66</f>
        <v>-110024948</v>
      </c>
      <c r="K67" s="125">
        <f>K56+K66</f>
        <v>15487345</v>
      </c>
      <c r="L67" s="125">
        <f>L56+L66</f>
        <v>-46855337</v>
      </c>
      <c r="M67" s="125">
        <f>M56+M66</f>
        <v>52411312.36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6"/>
      <c r="K70" s="6"/>
      <c r="L70" s="6"/>
      <c r="M70" s="6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3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J48:M50 J12:J46 K12:M12 K8:K9 K16:M16 K13:K15 K22:M22 K17:K21 K27:M27 K23:K26 K33:M33 K34:L41 K28:K32 L30:L32">
      <formula1>0</formula1>
    </dataValidation>
  </dataValidations>
  <printOptions/>
  <pageMargins left="0.51" right="0.29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K52"/>
    </sheetView>
  </sheetViews>
  <sheetFormatPr defaultColWidth="9.140625" defaultRowHeight="12.75"/>
  <cols>
    <col min="1" max="6" width="9.140625" style="51" customWidth="1"/>
    <col min="7" max="7" width="4.421875" style="51" customWidth="1"/>
    <col min="8" max="8" width="2.7109375" style="51" customWidth="1"/>
    <col min="9" max="9" width="9.140625" style="51" customWidth="1"/>
    <col min="10" max="10" width="10.421875" style="51" bestFit="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338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3" t="s">
        <v>279</v>
      </c>
      <c r="J4" s="64" t="s">
        <v>319</v>
      </c>
      <c r="K4" s="64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5">
        <v>2</v>
      </c>
      <c r="J5" s="66" t="s">
        <v>283</v>
      </c>
      <c r="K5" s="66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4">
        <v>-109436830</v>
      </c>
      <c r="K7" s="6">
        <v>-39601809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4">
        <v>110546704</v>
      </c>
      <c r="K8" s="6">
        <v>104821147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4">
        <v>62278613</v>
      </c>
      <c r="K9" s="6">
        <v>32409678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4">
        <v>0</v>
      </c>
      <c r="K10" s="6">
        <v>0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4">
        <v>0</v>
      </c>
      <c r="K11" s="6">
        <v>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4">
        <v>97020232</v>
      </c>
      <c r="K12" s="6">
        <v>138465213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126">
        <f>SUM(J7:J12)</f>
        <v>160408719</v>
      </c>
      <c r="K13" s="122">
        <f>SUM(K7:K12)</f>
        <v>236094229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4">
        <v>634324</v>
      </c>
      <c r="K14" s="6">
        <v>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4">
        <v>64192770</v>
      </c>
      <c r="K15" s="6">
        <v>49704957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4">
        <v>1599378</v>
      </c>
      <c r="K16" s="6">
        <v>5771925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4">
        <v>18474230</v>
      </c>
      <c r="K17" s="6">
        <v>9780423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126">
        <f>SUM(J14:J17)</f>
        <v>84900702</v>
      </c>
      <c r="K18" s="122">
        <f>SUM(K14:K17)</f>
        <v>65257305</v>
      </c>
    </row>
    <row r="19" spans="1:11" ht="26.25" customHeight="1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126">
        <f>IF(J13&gt;J18,J13-J18,0)</f>
        <v>75508017</v>
      </c>
      <c r="K19" s="122">
        <f>IF(K13&gt;K18,K13-K18,0)</f>
        <v>170836924</v>
      </c>
    </row>
    <row r="20" spans="1:11" ht="24.75" customHeight="1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126">
        <f>IF(J18&gt;J13,J18-J13,0)</f>
        <v>0</v>
      </c>
      <c r="K20" s="122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4">
        <v>1660256</v>
      </c>
      <c r="K22" s="6">
        <v>643726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4">
        <v>0</v>
      </c>
      <c r="K23" s="6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4">
        <v>0</v>
      </c>
      <c r="K24" s="6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4">
        <v>0</v>
      </c>
      <c r="K25" s="6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4">
        <v>21852330</v>
      </c>
      <c r="K26" s="6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126">
        <f>SUM(J22:J26)</f>
        <v>23512586</v>
      </c>
      <c r="K27" s="122">
        <f>SUM(K22:K26)</f>
        <v>643726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4">
        <v>49352804</v>
      </c>
      <c r="K28" s="6">
        <v>31920584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4">
        <v>0</v>
      </c>
      <c r="K29" s="6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4">
        <v>1402328</v>
      </c>
      <c r="K30" s="6">
        <v>22168721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126">
        <f>SUM(J28:J30)</f>
        <v>50755132</v>
      </c>
      <c r="K31" s="122">
        <f>SUM(K28:K30)</f>
        <v>54089305</v>
      </c>
    </row>
    <row r="32" spans="1:11" ht="24" customHeight="1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126">
        <f>IF(J27&gt;J31,J27-J31,0)</f>
        <v>0</v>
      </c>
      <c r="K32" s="122">
        <f>IF(K27&gt;K31,K27-K31,0)</f>
        <v>0</v>
      </c>
    </row>
    <row r="33" spans="1:11" ht="24.75" customHeight="1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126">
        <f>IF(J31&gt;J27,J31-J27,0)</f>
        <v>27242546</v>
      </c>
      <c r="K33" s="122">
        <f>IF(K31&gt;K27,K31-K27,0)</f>
        <v>53445579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4">
        <v>0</v>
      </c>
      <c r="K35" s="6">
        <v>0</v>
      </c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4">
        <v>14545491</v>
      </c>
      <c r="K36" s="6">
        <v>753721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4">
        <v>0</v>
      </c>
      <c r="K37" s="6">
        <v>0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126">
        <f>SUM(J35:J37)</f>
        <v>14545491</v>
      </c>
      <c r="K38" s="122">
        <f>SUM(K35:K37)</f>
        <v>753721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4">
        <v>79794898</v>
      </c>
      <c r="K39" s="6">
        <v>80925317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4">
        <v>0</v>
      </c>
      <c r="K40" s="6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4">
        <v>368795</v>
      </c>
      <c r="K41" s="6">
        <v>371853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4">
        <v>0</v>
      </c>
      <c r="K42" s="6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4">
        <v>10149485</v>
      </c>
      <c r="K43" s="6">
        <v>16814895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126">
        <f>SUM(J39:J43)</f>
        <v>90313178</v>
      </c>
      <c r="K44" s="122">
        <f>SUM(K39:K43)</f>
        <v>98112065</v>
      </c>
    </row>
    <row r="45" spans="1:11" ht="24" customHeight="1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126">
        <f>IF(J38&gt;J44,J38-J44,0)</f>
        <v>0</v>
      </c>
      <c r="K45" s="122">
        <f>IF(K38&gt;K44,K38-K44,0)</f>
        <v>0</v>
      </c>
    </row>
    <row r="46" spans="1:11" ht="25.5" customHeight="1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126">
        <f>IF(J44&gt;J38,J44-J38,0)</f>
        <v>75767687</v>
      </c>
      <c r="K46" s="122">
        <f>IF(K44&gt;K38,K44-K38,0)</f>
        <v>97358344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126">
        <f>IF(J19-J20+J32-J33+J45-J46&gt;0,J19-J20+J32-J33+J45-J46,0)</f>
        <v>0</v>
      </c>
      <c r="K47" s="122">
        <f>IF(K19-K20+K32-K33+K45-K46&gt;0,K19-K20+K32-K33+K45-K46,0)</f>
        <v>20033001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126">
        <f>IF(J20-J19+J33-J32+J46-J45&gt;0,J20-J19+J33-J32+J46-J45,0)</f>
        <v>27502216</v>
      </c>
      <c r="K48" s="122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4">
        <v>67139454</v>
      </c>
      <c r="K49" s="6">
        <v>51362124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4">
        <v>0</v>
      </c>
      <c r="K50" s="6">
        <v>20033001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4">
        <v>27502216</v>
      </c>
      <c r="K51" s="6">
        <v>0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3">
        <v>44</v>
      </c>
      <c r="J52" s="127">
        <f>J49+J50-J51</f>
        <v>39637238</v>
      </c>
      <c r="K52" s="125">
        <f>K49+K50-K51</f>
        <v>71395125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7" width="9.140625" style="51" customWidth="1"/>
    <col min="8" max="8" width="6.00390625" style="51" customWidth="1"/>
    <col min="9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3" t="s">
        <v>279</v>
      </c>
      <c r="J4" s="64" t="s">
        <v>319</v>
      </c>
      <c r="K4" s="64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4"/>
      <c r="K7" s="6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4"/>
      <c r="K8" s="6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4"/>
      <c r="K9" s="6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4"/>
      <c r="K10" s="6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4"/>
      <c r="K11" s="6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4"/>
      <c r="K13" s="6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4"/>
      <c r="K14" s="6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4"/>
      <c r="K15" s="6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4"/>
      <c r="K16" s="6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4"/>
      <c r="K17" s="6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4"/>
      <c r="K18" s="6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195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4"/>
      <c r="K23" s="6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4"/>
      <c r="K24" s="6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4"/>
      <c r="K25" s="6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4"/>
      <c r="K26" s="6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4"/>
      <c r="K27" s="6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4"/>
      <c r="K29" s="6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4"/>
      <c r="K30" s="6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4"/>
      <c r="K31" s="6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4"/>
      <c r="K36" s="6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4"/>
      <c r="K37" s="6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4"/>
      <c r="K38" s="6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4"/>
      <c r="K40" s="6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4"/>
      <c r="K41" s="6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4"/>
      <c r="K42" s="6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4"/>
      <c r="K43" s="6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4"/>
      <c r="K44" s="6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4"/>
      <c r="K50" s="6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4"/>
      <c r="K51" s="6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4"/>
      <c r="K52" s="6"/>
    </row>
    <row r="53" spans="1:11" ht="12.75">
      <c r="A53" s="195" t="s">
        <v>177</v>
      </c>
      <c r="B53" s="196"/>
      <c r="C53" s="196"/>
      <c r="D53" s="196"/>
      <c r="E53" s="196"/>
      <c r="F53" s="196"/>
      <c r="G53" s="196"/>
      <c r="H53" s="196"/>
      <c r="I53" s="3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K21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6" width="6.28125" style="73" customWidth="1"/>
    <col min="7" max="7" width="4.421875" style="73" customWidth="1"/>
    <col min="8" max="8" width="5.7109375" style="73" customWidth="1"/>
    <col min="9" max="9" width="9.140625" style="73" customWidth="1"/>
    <col min="10" max="11" width="10.140625" style="73" bestFit="1" customWidth="1"/>
    <col min="12" max="16384" width="9.140625" style="73" customWidth="1"/>
  </cols>
  <sheetData>
    <row r="1" spans="1:12" ht="16.5" customHeight="1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2"/>
    </row>
    <row r="2" spans="1:12" ht="15.75">
      <c r="A2" s="41"/>
      <c r="B2" s="71"/>
      <c r="C2" s="271" t="s">
        <v>282</v>
      </c>
      <c r="D2" s="271"/>
      <c r="E2" s="74">
        <v>40544</v>
      </c>
      <c r="F2" s="42" t="s">
        <v>250</v>
      </c>
      <c r="G2" s="272">
        <v>40816</v>
      </c>
      <c r="H2" s="273"/>
      <c r="I2" s="71"/>
      <c r="J2" s="71"/>
      <c r="K2" s="71"/>
      <c r="L2" s="75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77" t="s">
        <v>305</v>
      </c>
      <c r="J3" s="78" t="s">
        <v>150</v>
      </c>
      <c r="K3" s="78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0">
        <v>2</v>
      </c>
      <c r="J4" s="79" t="s">
        <v>283</v>
      </c>
      <c r="K4" s="79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989975500</v>
      </c>
      <c r="K5" s="44">
        <v>989975500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3">
        <v>2</v>
      </c>
      <c r="J6" s="45">
        <v>0</v>
      </c>
      <c r="K6" s="45">
        <v>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-1411845</v>
      </c>
      <c r="K7" s="45">
        <v>-8665373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-792277992</v>
      </c>
      <c r="K8" s="45">
        <v>-948831774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-156553782</v>
      </c>
      <c r="K9" s="45">
        <v>-39601809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>
        <v>100864360</v>
      </c>
      <c r="K10" s="45">
        <v>91302993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>
        <v>0</v>
      </c>
      <c r="K11" s="45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>
        <v>0</v>
      </c>
      <c r="K12" s="45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>
        <v>0</v>
      </c>
      <c r="K13" s="45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3">
        <v>10</v>
      </c>
      <c r="J14" s="122">
        <f>SUM(J5:J13)</f>
        <v>140596241</v>
      </c>
      <c r="K14" s="122">
        <f>SUM(K5:K13)</f>
        <v>84179537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>
        <v>0</v>
      </c>
      <c r="K15" s="45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>
        <v>0</v>
      </c>
      <c r="K16" s="45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>
        <v>-6708275</v>
      </c>
      <c r="K17" s="45">
        <v>-7253528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>
        <v>0</v>
      </c>
      <c r="K18" s="45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>
        <v>0</v>
      </c>
      <c r="K19" s="45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>
        <v>-169302271</v>
      </c>
      <c r="K20" s="45">
        <v>-49163176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3">
        <v>17</v>
      </c>
      <c r="J21" s="125">
        <f>SUM(J15:J20)</f>
        <v>-176010546</v>
      </c>
      <c r="K21" s="125">
        <f>SUM(K15:K20)</f>
        <v>-56416704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4"/>
      <c r="K23" s="44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7">
        <v>19</v>
      </c>
      <c r="J24" s="76"/>
      <c r="K24" s="76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vesna.mikulec</cp:lastModifiedBy>
  <cp:lastPrinted>2011-10-27T11:02:30Z</cp:lastPrinted>
  <dcterms:created xsi:type="dcterms:W3CDTF">2008-10-17T11:51:54Z</dcterms:created>
  <dcterms:modified xsi:type="dcterms:W3CDTF">2011-10-28T10:29:57Z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