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<sst xmlns="http://schemas.openxmlformats.org/spreadsheetml/2006/main" count="405" uniqueCount="353">
  <si>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</si>
  <si>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</si>
  <si>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</si>
  <si>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</si>
  <si>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</si>
  <si>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</si>
  <si>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</si>
  <si>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</si>
  <si>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</si>
  <si>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</si>
  <si>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</si>
  <si>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</si>
  <si>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</si>
  <si>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</si>
  <si>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</si>
  <si>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</si>
  <si>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</si>
  <si>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</si>
  <si>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</si>
  <si>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</si>
  <si>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</si>
  <si>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</si>
  <si>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</si>
  <si>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</si>
  <si>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</si>
  <si>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</si>
  <si>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</si>
  <si>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</si>
  <si>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</si>
  <si>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</si>
  <si>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</si>
  <si>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</si>
  <si>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</si>
  <si>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</si>
  <si>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</si>
  <si>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</si>
  <si>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</si>
  <si>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</si>
  <si>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</si>
  <si>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</si>
  <si>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</si>
  <si>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</si>
  <si>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</si>
  <si>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</si>
  <si>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</si>
  <si>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</si>
  <si>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</si>
  <si>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</si>
  <si>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</si>
  <si>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</si>
  <si>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</si>
  <si>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</si>
  <si>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</si>
  <si>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</si>
  <si>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</si>
  <si>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</si>
  <si>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</si>
  <si>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</si>
  <si>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</si>
  <si>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</si>
  <si>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</si>
  <si>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</si>
  <si>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</si>
  <si>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</si>
  <si>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</si>
  <si>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</si>
  <si>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</si>
  <si>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</si>
  <si>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</si>
  <si>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</si>
  <si>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</si>
  <si>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</si>
  <si>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</si>
  <si>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</si>
  <si>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</si>
  <si>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</si>
  <si>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</si>
  <si>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</si>
  <si>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</si>
  <si>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</si>
  <si>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</si>
  <si>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</si>
  <si>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</si>
  <si>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</si>
  <si>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</si>
  <si>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</si>
  <si>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</si>
  <si>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</si>
  <si>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</si>
  <si>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</si>
  <si>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</si>
  <si>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</si>
  <si>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</si>
  <si>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</si>
  <si>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</si>
  <si>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</si>
  <si>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</si>
  <si>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</si>
  <si>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</si>
  <si>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</si>
  <si>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</si>
  <si>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</si>
  <si>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</si>
  <si>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</si>
  <si>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</si>
  <si>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</si>
  <si>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</si>
  <si>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</si>
  <si>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</si>
  <si>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</si>
  <si>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</si>
  <si>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</si>
  <si>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</si>
  <si>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</si>
  <si>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</si>
  <si>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</si>
  <si>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</si>
  <si>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</si>
  <si>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</si>
  <si>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</si>
  <si>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</si>
  <si>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</si>
  <si>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</si>
  <si>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</si>
  <si>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</si>
  <si>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</si>
  <si>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</si>
  <si>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</si>
  <si>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</si>
  <si>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</si>
  <si>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</si>
  <si>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</si>
  <si>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</si>
  <si>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</si>
  <si>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</si>
  <si>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</si>
  <si>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</si>
  <si>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</si>
  <si>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</si>
  <si>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</si>
  <si>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</si>
  <si>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</si>
  <si>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</si>
  <si>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</si>
  <si>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</si>
  <si>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</si>
  <si>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</si>
  <si>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</si>
  <si>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</si>
  <si>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</si>
  <si>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</si>
  <si>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</si>
  <si>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</si>
  <si>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</si>
  <si>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</si>
  <si>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</si>
  <si>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</si>
  <si>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</si>
  <si>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</si>
  <si>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</si>
  <si>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</si>
  <si>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</si>
  <si>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</si>
  <si>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</si>
  <si>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</si>
  <si>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</si>
  <si>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</si>
  <si>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</si>
  <si>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</si>
  <si>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</si>
  <si>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</si>
  <si>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</si>
  <si>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</si>
  <si>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</si>
  <si>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</si>
  <si>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</si>
  <si>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</si>
  <si>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</si>
  <si>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</si>
  <si>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</si>
  <si>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</si>
  <si>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</si>
  <si>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</si>
  <si>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</si>
  <si>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</si>
  <si>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</si>
  <si>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</si>
  <si>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</si>
  <si>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</si>
  <si>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</si>
  <si>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</si>
  <si>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</si>
  <si>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</si>
  <si>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</si>
  <si>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</si>
  <si>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</si>
  <si>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</si>
  <si>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</si>
  <si>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</si>
  <si>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</si>
  <si>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</si>
  <si>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</si>
  <si>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</si>
  <si>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</si>
  <si>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</si>
  <si>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</si>
  <si>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</si>
  <si>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</si>
  <si>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</si>
  <si>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</si>
  <si>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</si>
  <si>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</si>
  <si>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</si>
  <si>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</si>
  <si>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</si>
  <si>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</si>
  <si>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</si>
  <si>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</si>
  <si>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</si>
  <si>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</si>
  <si>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</si>
  <si>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</si>
  <si>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</si>
  <si>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</si>
  <si>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</si>
  <si>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</si>
  <si>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</si>
  <si>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</si>
  <si>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</si>
  <si>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</si>
  <si>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</si>
  <si>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</si>
  <si>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</si>
  <si>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</si>
  <si>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</si>
  <si>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</si>
  <si>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</si>
  <si>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</si>
  <si>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</si>
  <si>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</si>
  <si>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</si>
  <si>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</si>
  <si>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</si>
  <si>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</si>
  <si>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</si>
  <si>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</si>
  <si>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</si>
  <si>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</si>
  <si>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</si>
  <si>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</si>
  <si>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</si>
  <si>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</si>
  <si>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</si>
  <si>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</si>
  <si>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</si>
  <si>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</si>
  <si>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</si>
  <si>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</si>
  <si>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</si>
  <si>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</si>
  <si>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</si>
  <si>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</si>
  <si>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</si>
  <si>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</si>
  <si>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</si>
  <si>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</si>
  <si>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</si>
  <si>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</si>
  <si>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</si>
  <si>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</si>
  <si>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</si>
  <si>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</si>
  <si>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</si>
  <si>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</si>
  <si>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</si>
  <si>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</si>
  <si>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</si>
  <si>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</si>
  <si>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</si>
  <si>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</si>
  <si>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</si>
  <si>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</si>
  <si>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</si>
  <si>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</si>
  <si>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</si>
  <si>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</si>
  <si>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</si>
  <si>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</si>
  <si>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</si>
  <si>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</si>
  <si>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</si>
  <si>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</si>
  <si>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</si>
  <si>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</si>
  <si>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</si>
  <si>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</si>
  <si>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</si>
  <si>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</si>
  <si>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</si>
  <si>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</si>
  <si>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</si>
  <si>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</si>
  <si>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</si>
  <si>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</si>
  <si>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</si>
  <si>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</si>
  <si>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</si>
  <si>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</si>
  <si>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</si>
  <si>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</si>
  <si>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</si>
  <si>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</si>
  <si>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</si>
  <si>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</si>
  <si>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</si>
  <si>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</si>
  <si>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</si>
  <si>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</si>
  <si>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</si>
  <si>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</si>
  <si>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</si>
  <si>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</si>
  <si>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</si>
  <si>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</si>
  <si>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03298744</t>
  </si>
  <si>
    <t>080037012</t>
  </si>
  <si>
    <t>24640993045</t>
  </si>
  <si>
    <t>CROATIA AIRLINES d.d.</t>
  </si>
  <si>
    <t>ZAGREB</t>
  </si>
  <si>
    <t>BANI 75 B</t>
  </si>
  <si>
    <t>www.croatiaairlines.hr</t>
  </si>
  <si>
    <t>GRAD ZAGREB</t>
  </si>
  <si>
    <t>DA</t>
  </si>
  <si>
    <t>5110</t>
  </si>
  <si>
    <t>OBZOR PUTOVANJA d.o.o.</t>
  </si>
  <si>
    <t>Zagreb, Avenija Marina Držića bb</t>
  </si>
  <si>
    <t>00490555</t>
  </si>
  <si>
    <t>AMADEUS CROATIA d.d.</t>
  </si>
  <si>
    <t>Zagreb, Trg kralja Tomislava 9</t>
  </si>
  <si>
    <t>00485764</t>
  </si>
  <si>
    <t>PLESO PRIJEVOZ d.o.o.</t>
  </si>
  <si>
    <t>00712728</t>
  </si>
  <si>
    <t>Vesna Mikulec</t>
  </si>
  <si>
    <t>vesna.mikulec@croatiaairlines.hr</t>
  </si>
  <si>
    <t>SREĆKO ŠIMUNOVIĆ</t>
  </si>
  <si>
    <t>01 616 00 49</t>
  </si>
  <si>
    <t>01 617 66 90</t>
  </si>
  <si>
    <t>Obveznik: CROATIA AIRLINES GRUPA _____________________________________________________________</t>
  </si>
  <si>
    <t>Obveznik: CROATIA AIRLINES GRUPA_____________________________________________________________</t>
  </si>
  <si>
    <t>Obveznik: CROATIA AIRLINES GRUPA____________________________________________________________</t>
  </si>
  <si>
    <t>bu-ha@croatiaairlines.hr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</si>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</sst>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30" xfId="0" applyFill="1" applyBorder="1" applyAlignment="1">
      <alignment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n-6fps\vm_bilanca$\FINANCIJSKA%20IZVJESCA\KONSOLIDACIJA\konsol%202011\konsolidacija%201-9%202011\KONSOLIDACIJA%20radna%2030%2009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KONS RDG"/>
      <sheetName val="kons BILANCA"/>
      <sheetName val="KONS.PROM KAPITALA"/>
      <sheetName val="rdg eliminacije"/>
      <sheetName val="bilanca eliminacije"/>
      <sheetName val="kretanje bilance KONS."/>
      <sheetName val="NT- nakon reklas."/>
      <sheetName val="krediti promjene"/>
      <sheetName val="imovina promje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atiaairlines.hr/" TargetMode="External" /><Relationship Id="rId2" Type="http://schemas.openxmlformats.org/officeDocument/2006/relationships/hyperlink" Target="mailto:vesna.mikulec@croatiaairlines.hr" TargetMode="External" /><Relationship Id="rId3" Type="http://schemas.openxmlformats.org/officeDocument/2006/relationships/hyperlink" Target="mailto:bu-ha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5" sqref="A4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248</v>
      </c>
      <c r="B1" s="183"/>
      <c r="C1" s="18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38" t="s">
        <v>249</v>
      </c>
      <c r="B2" s="139"/>
      <c r="C2" s="139"/>
      <c r="D2" s="140"/>
      <c r="E2" s="117" t="s">
        <v>323</v>
      </c>
      <c r="F2" s="12"/>
      <c r="G2" s="13" t="s">
        <v>250</v>
      </c>
      <c r="H2" s="117">
        <v>40816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4" t="s">
        <v>251</v>
      </c>
      <c r="B6" s="145"/>
      <c r="C6" s="136" t="s">
        <v>324</v>
      </c>
      <c r="D6" s="137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6" t="s">
        <v>252</v>
      </c>
      <c r="B8" s="147"/>
      <c r="C8" s="136" t="s">
        <v>325</v>
      </c>
      <c r="D8" s="137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3" t="s">
        <v>253</v>
      </c>
      <c r="B10" s="134"/>
      <c r="C10" s="136" t="s">
        <v>326</v>
      </c>
      <c r="D10" s="137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4" t="s">
        <v>254</v>
      </c>
      <c r="B12" s="145"/>
      <c r="C12" s="148" t="s">
        <v>327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4" t="s">
        <v>255</v>
      </c>
      <c r="B14" s="145"/>
      <c r="C14" s="151">
        <v>10010</v>
      </c>
      <c r="D14" s="152"/>
      <c r="E14" s="16"/>
      <c r="F14" s="148" t="s">
        <v>328</v>
      </c>
      <c r="G14" s="149"/>
      <c r="H14" s="149"/>
      <c r="I14" s="150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4" t="s">
        <v>256</v>
      </c>
      <c r="B16" s="145"/>
      <c r="C16" s="148" t="s">
        <v>329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4" t="s">
        <v>257</v>
      </c>
      <c r="B18" s="145"/>
      <c r="C18" s="153" t="s">
        <v>350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4" t="s">
        <v>258</v>
      </c>
      <c r="B20" s="145"/>
      <c r="C20" s="156" t="s">
        <v>330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4" t="s">
        <v>259</v>
      </c>
      <c r="B22" s="145"/>
      <c r="C22" s="118">
        <v>133</v>
      </c>
      <c r="D22" s="148" t="s">
        <v>328</v>
      </c>
      <c r="E22" s="157"/>
      <c r="F22" s="158"/>
      <c r="G22" s="144"/>
      <c r="H22" s="159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4" t="s">
        <v>260</v>
      </c>
      <c r="B24" s="145"/>
      <c r="C24" s="118">
        <v>21</v>
      </c>
      <c r="D24" s="148" t="s">
        <v>331</v>
      </c>
      <c r="E24" s="157"/>
      <c r="F24" s="157"/>
      <c r="G24" s="158"/>
      <c r="H24" s="51" t="s">
        <v>261</v>
      </c>
      <c r="I24" s="132">
        <f>1141+8+13</f>
        <v>1162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4" t="s">
        <v>262</v>
      </c>
      <c r="B26" s="145"/>
      <c r="C26" s="119" t="s">
        <v>332</v>
      </c>
      <c r="D26" s="25"/>
      <c r="E26" s="33"/>
      <c r="F26" s="24"/>
      <c r="G26" s="160" t="s">
        <v>263</v>
      </c>
      <c r="H26" s="145"/>
      <c r="I26" s="128" t="s">
        <v>333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1" t="s">
        <v>264</v>
      </c>
      <c r="B28" s="162"/>
      <c r="C28" s="163"/>
      <c r="D28" s="163"/>
      <c r="E28" s="164" t="s">
        <v>265</v>
      </c>
      <c r="F28" s="165"/>
      <c r="G28" s="165"/>
      <c r="H28" s="166" t="s">
        <v>266</v>
      </c>
      <c r="I28" s="167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8" t="s">
        <v>334</v>
      </c>
      <c r="B30" s="169"/>
      <c r="C30" s="169"/>
      <c r="D30" s="170"/>
      <c r="E30" s="168" t="s">
        <v>335</v>
      </c>
      <c r="F30" s="169"/>
      <c r="G30" s="169"/>
      <c r="H30" s="136" t="s">
        <v>336</v>
      </c>
      <c r="I30" s="137"/>
      <c r="J30" s="10"/>
      <c r="K30" s="10"/>
      <c r="L30" s="10"/>
    </row>
    <row r="31" spans="1:12" ht="12.75">
      <c r="A31" s="91"/>
      <c r="B31" s="22"/>
      <c r="C31" s="21"/>
      <c r="D31" s="171"/>
      <c r="E31" s="171"/>
      <c r="F31" s="171"/>
      <c r="G31" s="172"/>
      <c r="H31" s="16"/>
      <c r="I31" s="98"/>
      <c r="J31" s="10"/>
      <c r="K31" s="10"/>
      <c r="L31" s="10"/>
    </row>
    <row r="32" spans="1:12" ht="12.75">
      <c r="A32" s="168" t="s">
        <v>337</v>
      </c>
      <c r="B32" s="169"/>
      <c r="C32" s="169"/>
      <c r="D32" s="170"/>
      <c r="E32" s="168" t="s">
        <v>338</v>
      </c>
      <c r="F32" s="169"/>
      <c r="G32" s="169"/>
      <c r="H32" s="136" t="s">
        <v>339</v>
      </c>
      <c r="I32" s="137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8" t="s">
        <v>340</v>
      </c>
      <c r="B34" s="169"/>
      <c r="C34" s="169"/>
      <c r="D34" s="170"/>
      <c r="E34" s="168" t="s">
        <v>335</v>
      </c>
      <c r="F34" s="169"/>
      <c r="G34" s="169"/>
      <c r="H34" s="136" t="s">
        <v>341</v>
      </c>
      <c r="I34" s="137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8"/>
      <c r="B36" s="169"/>
      <c r="C36" s="169"/>
      <c r="D36" s="170"/>
      <c r="E36" s="168"/>
      <c r="F36" s="169"/>
      <c r="G36" s="169"/>
      <c r="H36" s="136"/>
      <c r="I36" s="137"/>
      <c r="J36" s="10"/>
      <c r="K36" s="10"/>
      <c r="L36" s="10"/>
    </row>
    <row r="37" spans="1:12" ht="12.75">
      <c r="A37" s="100"/>
      <c r="B37" s="30"/>
      <c r="C37" s="173"/>
      <c r="D37" s="174"/>
      <c r="E37" s="16"/>
      <c r="F37" s="173"/>
      <c r="G37" s="174"/>
      <c r="H37" s="16"/>
      <c r="I37" s="92"/>
      <c r="J37" s="10"/>
      <c r="K37" s="10"/>
      <c r="L37" s="10"/>
    </row>
    <row r="38" spans="1:12" ht="12.75">
      <c r="A38" s="168"/>
      <c r="B38" s="169"/>
      <c r="C38" s="169"/>
      <c r="D38" s="170"/>
      <c r="E38" s="168"/>
      <c r="F38" s="169"/>
      <c r="G38" s="169"/>
      <c r="H38" s="136"/>
      <c r="I38" s="137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8"/>
      <c r="B40" s="169"/>
      <c r="C40" s="169"/>
      <c r="D40" s="170"/>
      <c r="E40" s="168"/>
      <c r="F40" s="169"/>
      <c r="G40" s="169"/>
      <c r="H40" s="136"/>
      <c r="I40" s="13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3" t="s">
        <v>267</v>
      </c>
      <c r="B44" s="178"/>
      <c r="C44" s="136"/>
      <c r="D44" s="137"/>
      <c r="E44" s="26"/>
      <c r="F44" s="148"/>
      <c r="G44" s="169"/>
      <c r="H44" s="169"/>
      <c r="I44" s="170"/>
      <c r="J44" s="10"/>
      <c r="K44" s="10"/>
      <c r="L44" s="10"/>
    </row>
    <row r="45" spans="1:12" ht="12.75">
      <c r="A45" s="100"/>
      <c r="B45" s="30"/>
      <c r="C45" s="173"/>
      <c r="D45" s="174"/>
      <c r="E45" s="16"/>
      <c r="F45" s="173"/>
      <c r="G45" s="175"/>
      <c r="H45" s="35"/>
      <c r="I45" s="104"/>
      <c r="J45" s="10"/>
      <c r="K45" s="10"/>
      <c r="L45" s="10"/>
    </row>
    <row r="46" spans="1:12" ht="12.75">
      <c r="A46" s="133" t="s">
        <v>268</v>
      </c>
      <c r="B46" s="178"/>
      <c r="C46" s="148" t="s">
        <v>342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3" t="s">
        <v>270</v>
      </c>
      <c r="B48" s="178"/>
      <c r="C48" s="179" t="s">
        <v>345</v>
      </c>
      <c r="D48" s="180"/>
      <c r="E48" s="181"/>
      <c r="F48" s="16"/>
      <c r="G48" s="51" t="s">
        <v>271</v>
      </c>
      <c r="H48" s="179" t="s">
        <v>346</v>
      </c>
      <c r="I48" s="181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3" t="s">
        <v>257</v>
      </c>
      <c r="B50" s="178"/>
      <c r="C50" s="190" t="s">
        <v>343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4" t="s">
        <v>272</v>
      </c>
      <c r="B52" s="145"/>
      <c r="C52" s="179" t="s">
        <v>344</v>
      </c>
      <c r="D52" s="180"/>
      <c r="E52" s="180"/>
      <c r="F52" s="180"/>
      <c r="G52" s="180"/>
      <c r="H52" s="180"/>
      <c r="I52" s="150"/>
      <c r="J52" s="10"/>
      <c r="K52" s="10"/>
      <c r="L52" s="10"/>
    </row>
    <row r="53" spans="1:12" ht="12.75">
      <c r="A53" s="105"/>
      <c r="B53" s="20"/>
      <c r="C53" s="184" t="s">
        <v>273</v>
      </c>
      <c r="D53" s="184"/>
      <c r="E53" s="184"/>
      <c r="F53" s="184"/>
      <c r="G53" s="184"/>
      <c r="H53" s="184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1" t="s">
        <v>274</v>
      </c>
      <c r="C55" s="192"/>
      <c r="D55" s="192"/>
      <c r="E55" s="192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5"/>
      <c r="B57" s="193" t="s">
        <v>307</v>
      </c>
      <c r="C57" s="194"/>
      <c r="D57" s="194"/>
      <c r="E57" s="194"/>
      <c r="F57" s="194"/>
      <c r="G57" s="194"/>
      <c r="H57" s="194"/>
      <c r="I57" s="107"/>
      <c r="J57" s="10"/>
      <c r="K57" s="10"/>
      <c r="L57" s="10"/>
    </row>
    <row r="58" spans="1:12" ht="12.75">
      <c r="A58" s="105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5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5" t="s">
        <v>277</v>
      </c>
      <c r="H62" s="186"/>
      <c r="I62" s="187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8"/>
      <c r="H63" s="189"/>
      <c r="I63" s="116"/>
      <c r="J63" s="10"/>
      <c r="K63" s="10"/>
      <c r="L63" s="10"/>
    </row>
  </sheetData>
  <sheetProtection/>
  <protectedRanges>
    <protectedRange sqref="E2 H2" name="Range1"/>
    <protectedRange sqref="C6:D6" name="Range1_1"/>
    <protectedRange sqref="C8:D8" name="Range1_2"/>
    <protectedRange sqref="C10:D10" name="Range1_3"/>
    <protectedRange sqref="C12:I12" name="Range1_4"/>
    <protectedRange sqref="C14:D14 F14:I14" name="Range1_5"/>
    <protectedRange sqref="C16:I16 C18:I18 C20:I20 C24:G24 C22:F22 C26 I26 I24" name="Range1_6"/>
    <protectedRange sqref="A30:I30 A32:I32 A34:D34" name="Range1_7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croatiaairlines.hr"/>
    <hyperlink ref="C50" r:id="rId2" display="vesna.mikulec@croatiaairlines.hr"/>
    <hyperlink ref="C18" r:id="rId3" display="bu-ha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2">
      <selection activeCell="M122" sqref="M122"/>
    </sheetView>
  </sheetViews>
  <sheetFormatPr defaultColWidth="9.140625" defaultRowHeight="12.75"/>
  <cols>
    <col min="1" max="6" width="9.140625" style="52" customWidth="1"/>
    <col min="7" max="7" width="5.8515625" style="52" customWidth="1"/>
    <col min="8" max="8" width="4.28125" style="52" customWidth="1"/>
    <col min="9" max="9" width="9.140625" style="52" customWidth="1"/>
    <col min="10" max="10" width="13.421875" style="52" customWidth="1"/>
    <col min="11" max="11" width="14.421875" style="52" customWidth="1"/>
    <col min="12" max="12" width="9.140625" style="52" customWidth="1"/>
    <col min="13" max="16384" width="9.140625" style="52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351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347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7" t="s">
        <v>278</v>
      </c>
      <c r="J4" s="58" t="s">
        <v>319</v>
      </c>
      <c r="K4" s="59" t="s">
        <v>320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6">
        <v>2</v>
      </c>
      <c r="J5" s="55">
        <v>3</v>
      </c>
      <c r="K5" s="55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123">
        <f>J9+J16+J26+J35+J39</f>
        <v>1327446186</v>
      </c>
      <c r="K8" s="123" t="e">
        <f>K9+K16+K26+K35+K39</f>
        <v>#REF!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123">
        <f>SUM(J10:J15)</f>
        <v>17181342</v>
      </c>
      <c r="K9" s="123" t="e">
        <f>SUM(K10:K15)</f>
        <v>#REF!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0</v>
      </c>
      <c r="K10" s="7" t="e">
        <f>'[1]kons BILANCA'!$M9</f>
        <v>#REF!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16629020</v>
      </c>
      <c r="K11" s="7" t="e">
        <f>'[1]kons BILANCA'!L10</f>
        <v>#REF!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0</v>
      </c>
      <c r="K12" s="7" t="e">
        <f>'[1]kons BILANCA'!L11</f>
        <v>#REF!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0</v>
      </c>
      <c r="K13" s="7" t="e">
        <f>'[1]kons BILANCA'!L12</f>
        <v>#REF!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552322</v>
      </c>
      <c r="K14" s="7" t="e">
        <f>'[1]kons BILANCA'!L13</f>
        <v>#REF!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0</v>
      </c>
      <c r="K15" s="7" t="e">
        <f>'[1]kons BILANCA'!L14</f>
        <v>#REF!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123">
        <f>SUM(J17:J25)</f>
        <v>1273077639</v>
      </c>
      <c r="K16" s="123" t="e">
        <f>SUM(K17:K25)</f>
        <v>#REF!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24528160</v>
      </c>
      <c r="K17" s="7" t="e">
        <f>'[1]kons BILANCA'!L16</f>
        <v>#REF!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34753339</v>
      </c>
      <c r="K18" s="7" t="e">
        <f>'[1]kons BILANCA'!L17</f>
        <v>#REF!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105035810</v>
      </c>
      <c r="K19" s="7" t="e">
        <f>'[1]kons BILANCA'!L18</f>
        <v>#REF!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1054900547</v>
      </c>
      <c r="K20" s="7" t="e">
        <f>'[1]kons BILANCA'!L19</f>
        <v>#REF!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0</v>
      </c>
      <c r="K21" s="7" t="e">
        <f>'[1]kons BILANCA'!L20</f>
        <v>#REF!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42116037</v>
      </c>
      <c r="K22" s="7" t="e">
        <f>'[1]kons BILANCA'!L21</f>
        <v>#REF!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10039374</v>
      </c>
      <c r="K23" s="7" t="e">
        <f>'[1]kons BILANCA'!L22</f>
        <v>#REF!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1704372</v>
      </c>
      <c r="K24" s="7" t="e">
        <f>'[1]kons BILANCA'!L23</f>
        <v>#REF!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0</v>
      </c>
      <c r="K25" s="7" t="e">
        <f>'[1]kons BILANCA'!L24</f>
        <v>#REF!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123">
        <f>SUM(J27:J34)</f>
        <v>36684490</v>
      </c>
      <c r="K26" s="123" t="e">
        <f>SUM(K27:K34)</f>
        <v>#REF!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3900000</v>
      </c>
      <c r="K27" s="7" t="e">
        <f>'[1]kons BILANCA'!L26</f>
        <v>#REF!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 t="e">
        <f>'[1]kons BILANCA'!L27</f>
        <v>#REF!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0</v>
      </c>
      <c r="K29" s="7" t="e">
        <f>'[1]kons BILANCA'!L28</f>
        <v>#REF!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0</v>
      </c>
      <c r="K30" s="7" t="e">
        <f>'[1]kons BILANCA'!L29</f>
        <v>#REF!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1702800</v>
      </c>
      <c r="K31" s="7" t="e">
        <f>'[1]kons BILANCA'!L30</f>
        <v>#REF!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30237550</v>
      </c>
      <c r="K32" s="7" t="e">
        <f>'[1]kons BILANCA'!L31</f>
        <v>#REF!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0</v>
      </c>
      <c r="K33" s="7" t="e">
        <f>'[1]kons BILANCA'!L32</f>
        <v>#REF!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844140</v>
      </c>
      <c r="K34" s="7" t="e">
        <f>'[1]kons BILANCA'!L33</f>
        <v>#REF!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123">
        <f>SUM(J36:J38)</f>
        <v>502715</v>
      </c>
      <c r="K35" s="123" t="e">
        <f>SUM(K36:K38)</f>
        <v>#REF!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 t="e">
        <f>'[1]kons BILANCA'!L35</f>
        <v>#REF!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0</v>
      </c>
      <c r="K37" s="7" t="e">
        <f>'[1]kons BILANCA'!L36</f>
        <v>#REF!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502715</v>
      </c>
      <c r="K38" s="7" t="e">
        <f>'[1]kons BILANCA'!L37</f>
        <v>#REF!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0</v>
      </c>
      <c r="K39" s="7" t="e">
        <f>'[1]kons BILANCA'!L38</f>
        <v>#REF!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123">
        <f>J41+J49+J56+J64</f>
        <v>221862304</v>
      </c>
      <c r="K40" s="123" t="e">
        <f>K41+K49+K56+K64</f>
        <v>#REF!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123">
        <f>SUM(J42:J48)</f>
        <v>38121918</v>
      </c>
      <c r="K41" s="123" t="e">
        <f>SUM(K42:K48)</f>
        <v>#REF!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38121918</v>
      </c>
      <c r="K42" s="7" t="e">
        <f>'[1]kons BILANCA'!L41</f>
        <v>#REF!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0</v>
      </c>
      <c r="K43" s="7" t="e">
        <f>'[1]kons BILANCA'!L42</f>
        <v>#REF!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0</v>
      </c>
      <c r="K44" s="7" t="e">
        <f>'[1]kons BILANCA'!L43</f>
        <v>#REF!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0</v>
      </c>
      <c r="K45" s="7" t="e">
        <f>'[1]kons BILANCA'!L44</f>
        <v>#REF!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0</v>
      </c>
      <c r="K46" s="7" t="e">
        <f>'[1]kons BILANCA'!L45</f>
        <v>#REF!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0</v>
      </c>
      <c r="K47" s="7" t="e">
        <f>'[1]kons BILANCA'!L46</f>
        <v>#REF!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0</v>
      </c>
      <c r="K48" s="7" t="e">
        <f>'[1]kons BILANCA'!L47</f>
        <v>#REF!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123">
        <f>SUM(J50:J55)</f>
        <v>128010149</v>
      </c>
      <c r="K49" s="123" t="e">
        <f>SUM(K50:K55)</f>
        <v>#REF!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43927</v>
      </c>
      <c r="K50" s="7" t="e">
        <f>'[1]kons BILANCA'!L49</f>
        <v>#REF!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74605317</v>
      </c>
      <c r="K51" s="7" t="e">
        <f>'[1]kons BILANCA'!L50</f>
        <v>#REF!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0</v>
      </c>
      <c r="K52" s="7" t="e">
        <f>'[1]kons BILANCA'!L51</f>
        <v>#REF!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303979</v>
      </c>
      <c r="K53" s="7" t="e">
        <f>'[1]kons BILANCA'!L52</f>
        <v>#REF!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44872619</v>
      </c>
      <c r="K54" s="7" t="e">
        <f>'[1]kons BILANCA'!L53</f>
        <v>#REF!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8184307</v>
      </c>
      <c r="K55" s="7" t="e">
        <f>'[1]kons BILANCA'!L54</f>
        <v>#REF!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123">
        <f>SUM(J57:J63)</f>
        <v>2257494</v>
      </c>
      <c r="K56" s="123" t="e">
        <f>SUM(K57:K63)</f>
        <v>#REF!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 t="e">
        <f>'[1]kons BILANCA'!L56</f>
        <v>#REF!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0</v>
      </c>
      <c r="K58" s="7" t="e">
        <f>'[1]kons BILANCA'!L57</f>
        <v>#REF!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 t="e">
        <f>'[1]kons BILANCA'!L58</f>
        <v>#REF!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0</v>
      </c>
      <c r="K60" s="7" t="e">
        <f>'[1]kons BILANCA'!L59</f>
        <v>#REF!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182</v>
      </c>
      <c r="K61" s="7" t="e">
        <f>'[1]kons BILANCA'!L60</f>
        <v>#REF!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2013037</v>
      </c>
      <c r="K62" s="7" t="e">
        <f>'[1]kons BILANCA'!L61</f>
        <v>#REF!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244275</v>
      </c>
      <c r="K63" s="7" t="e">
        <f>'[1]kons BILANCA'!L62</f>
        <v>#REF!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53472743</v>
      </c>
      <c r="K64" s="7" t="e">
        <f>'[1]kons BILANCA'!L63</f>
        <v>#REF!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124">
        <v>37008247</v>
      </c>
      <c r="K65" s="124" t="e">
        <f>'[1]kons BILANCA'!L64</f>
        <v>#REF!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123">
        <f>J7+J8+J40+J65</f>
        <v>1586316737</v>
      </c>
      <c r="K66" s="123" t="e">
        <f>K7+K8+K40+K65</f>
        <v>#REF!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200" t="s">
        <v>58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2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125">
        <f>J70+J71+J72+J78+J79+J82+J85</f>
        <v>143673134</v>
      </c>
      <c r="K69" s="125" t="e">
        <f>K70+K71+K72+K78+K79+K82+K85</f>
        <v>#REF!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989985500</v>
      </c>
      <c r="K70" s="7" t="e">
        <f>'[1]kons BILANCA'!L69</f>
        <v>#REF!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0</v>
      </c>
      <c r="K71" s="7" t="e">
        <f>'[1]kons BILANCA'!L70</f>
        <v>#REF!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123">
        <f>J73+J74-J75+J76+J77</f>
        <v>26783</v>
      </c>
      <c r="K72" s="123" t="e">
        <f>K73+K74-K75+K76+K77</f>
        <v>#REF!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941483</v>
      </c>
      <c r="K73" s="7" t="e">
        <f>'[1]kons BILANCA'!L72</f>
        <v>#REF!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0</v>
      </c>
      <c r="K74" s="7" t="e">
        <f>'[1]kons BILANCA'!L73</f>
        <v>#REF!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32600</v>
      </c>
      <c r="K75" s="7" t="e">
        <f>'[1]kons BILANCA'!L74</f>
        <v>#REF!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0</v>
      </c>
      <c r="K76" s="7" t="e">
        <f>'[1]kons BILANCA'!L75</f>
        <v>#REF!</v>
      </c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-882100</v>
      </c>
      <c r="K77" s="7" t="e">
        <f>'[1]kons BILANCA'!L76</f>
        <v>#REF!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100864360</v>
      </c>
      <c r="K78" s="7" t="e">
        <f>'[1]kons BILANCA'!L77</f>
        <v>#REF!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123">
        <f>J80-J81</f>
        <v>-790967505</v>
      </c>
      <c r="K79" s="123" t="e">
        <f>K80-K81</f>
        <v>#REF!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0</v>
      </c>
      <c r="K80" s="7" t="e">
        <f>'[1]kons BILANCA'!L79</f>
        <v>#REF!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790967505</v>
      </c>
      <c r="K81" s="7" t="e">
        <f>'[1]kons BILANCA'!L80</f>
        <v>#REF!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123">
        <f>J83-J84</f>
        <v>-156236004</v>
      </c>
      <c r="K82" s="123" t="e">
        <f>K83-K84</f>
        <v>#REF!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0</v>
      </c>
      <c r="K83" s="7" t="e">
        <f>'[1]kons BILANCA'!L82</f>
        <v>#REF!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156236004</v>
      </c>
      <c r="K84" s="7" t="e">
        <f>'[1]kons BILANCA'!L83</f>
        <v>#REF!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0</v>
      </c>
      <c r="K85" s="7" t="e">
        <f>'[1]kons BILANCA'!L84</f>
        <v>#REF!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123">
        <f>SUM(J87:J89)</f>
        <v>840321</v>
      </c>
      <c r="K86" s="123" t="e">
        <f>SUM(K87:K89)</f>
        <v>#REF!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0</v>
      </c>
      <c r="K87" s="7" t="e">
        <f>'[1]kons BILANCA'!L86</f>
        <v>#REF!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 t="e">
        <f>'[1]kons BILANCA'!L87</f>
        <v>#REF!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840321</v>
      </c>
      <c r="K89" s="7" t="e">
        <f>'[1]kons BILANCA'!L88</f>
        <v>#REF!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123">
        <f>SUM(J91:J99)</f>
        <v>837604457</v>
      </c>
      <c r="K90" s="123" t="e">
        <f>SUM(K91:K99)</f>
        <v>#REF!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0</v>
      </c>
      <c r="K91" s="7" t="e">
        <f>'[1]kons BILANCA'!L90</f>
        <v>#REF!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43378</v>
      </c>
      <c r="K92" s="7" t="e">
        <f>'[1]kons BILANCA'!L91</f>
        <v>#REF!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563545509</v>
      </c>
      <c r="K93" s="7" t="e">
        <f>'[1]kons BILANCA'!L94</f>
        <v>#REF!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0</v>
      </c>
      <c r="K94" s="7" t="e">
        <f>'[1]kons BILANCA'!L95</f>
        <v>#REF!</v>
      </c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0</v>
      </c>
      <c r="K95" s="7" t="e">
        <f>'[1]kons BILANCA'!L96</f>
        <v>#REF!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 t="e">
        <f>'[1]kons BILANCA'!L97</f>
        <v>#REF!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 t="e">
        <f>'[1]kons BILANCA'!L98</f>
        <v>#REF!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274015570</v>
      </c>
      <c r="K98" s="7" t="e">
        <f>'[1]kons BILANCA'!L99</f>
        <v>#REF!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0</v>
      </c>
      <c r="K99" s="7" t="e">
        <f>'[1]kons BILANCA'!L100</f>
        <v>#REF!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23">
        <f>SUM(J101:J112)</f>
        <v>592289857</v>
      </c>
      <c r="K100" s="123" t="e">
        <f>SUM(K101:K112)</f>
        <v>#REF!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2428055</v>
      </c>
      <c r="K101" s="7" t="e">
        <f>'[1]kons BILANCA'!L102</f>
        <v>#REF!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1484165</v>
      </c>
      <c r="K102" s="7" t="e">
        <f>'[1]kons BILANCA'!L103</f>
        <v>#REF!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194104381</v>
      </c>
      <c r="K103" s="7" t="e">
        <f>'[1]kons BILANCA'!L106</f>
        <v>#REF!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5979781</v>
      </c>
      <c r="K104" s="7" t="e">
        <f>'[1]kons BILANCA'!L107</f>
        <v>#REF!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219203640</v>
      </c>
      <c r="K105" s="7" t="e">
        <f>'[1]kons BILANCA'!L108</f>
        <v>#REF!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0</v>
      </c>
      <c r="K106" s="7" t="e">
        <f>'[1]kons BILANCA'!L109</f>
        <v>#REF!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0</v>
      </c>
      <c r="K107" s="7" t="e">
        <f>'[1]kons BILANCA'!L110</f>
        <v>#REF!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10181554</v>
      </c>
      <c r="K108" s="7" t="e">
        <f>'[1]kons BILANCA'!L111</f>
        <v>#REF!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9040079</v>
      </c>
      <c r="K109" s="7" t="e">
        <f>'[1]kons BILANCA'!L112</f>
        <v>#REF!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227109</v>
      </c>
      <c r="K110" s="7" t="e">
        <f>'[1]kons BILANCA'!L113</f>
        <v>#REF!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0</v>
      </c>
      <c r="K111" s="7" t="e">
        <f>'[1]kons BILANCA'!L114</f>
        <v>#REF!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149641093</v>
      </c>
      <c r="K112" s="7" t="e">
        <f>'[1]kons BILANCA'!L115</f>
        <v>#REF!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124">
        <v>11908968</v>
      </c>
      <c r="K113" s="7" t="e">
        <f>'[1]kons BILANCA'!L116</f>
        <v>#REF!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23">
        <f>J69+J86+J90+J100+J113</f>
        <v>1586316737</v>
      </c>
      <c r="K114" s="123" t="e">
        <f>K69+K86+K90+K100+K113</f>
        <v>#REF!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/>
      <c r="K115" s="8"/>
    </row>
    <row r="116" spans="1:11" ht="12.75" customHeight="1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2"/>
    </row>
    <row r="117" spans="1:11" ht="12.75" customHeight="1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f>J69</f>
        <v>143673134</v>
      </c>
      <c r="K118" s="7" t="e">
        <f>K69</f>
        <v>#REF!</v>
      </c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 customHeight="1">
      <c r="A120" s="215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type="whole" operator="notEqual" allowBlank="1" showInputMessage="1" showErrorMessage="1" errorTitle="Pogrešan unos" error="Mogu se unijeti samo cjelobrojne vrijednosti." sqref="J119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J67 J82 J72 J114:J115 J7:J9 J16 J26 J35 J40:J41 J49 J56 K7:K67 J79 J86 J90 J100 K70:K115">
      <formula1>0</formula1>
    </dataValidation>
    <dataValidation allowBlank="1" sqref="J10:J15 J17:J25 J27:J34 J36:J39 J42:J48 J50:J55 J57:J65 J70:J71 J73:J78 J80:J81 J83:J85 J87:J89 J91:J99 J101:J113 J118"/>
  </dataValidations>
  <printOptions/>
  <pageMargins left="0.7480314960629921" right="0.31496062992125984" top="0.57" bottom="0.57" header="0.38" footer="0.34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2">
      <pane ySplit="5" topLeftCell="A55" activePane="bottomLeft" state="frozen"/>
      <selection pane="topLeft" activeCell="A2" sqref="A2"/>
      <selection pane="bottomLeft" activeCell="L7" sqref="L7"/>
    </sheetView>
  </sheetViews>
  <sheetFormatPr defaultColWidth="9.140625" defaultRowHeight="12.75"/>
  <cols>
    <col min="1" max="3" width="9.140625" style="52" customWidth="1"/>
    <col min="4" max="4" width="5.7109375" style="52" customWidth="1"/>
    <col min="5" max="5" width="4.421875" style="52" customWidth="1"/>
    <col min="6" max="6" width="7.28125" style="52" customWidth="1"/>
    <col min="7" max="7" width="6.7109375" style="52" customWidth="1"/>
    <col min="8" max="8" width="7.00390625" style="52" customWidth="1"/>
    <col min="9" max="9" width="6.57421875" style="52" customWidth="1"/>
    <col min="10" max="10" width="11.00390625" style="52" customWidth="1"/>
    <col min="11" max="11" width="10.7109375" style="52" customWidth="1"/>
    <col min="12" max="12" width="10.57421875" style="52" customWidth="1"/>
    <col min="13" max="13" width="11.00390625" style="52" customWidth="1"/>
    <col min="14" max="16384" width="9.140625" style="52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352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50" t="s">
        <v>349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7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125">
        <f>SUM(J8:J9)</f>
        <v>1058000987</v>
      </c>
      <c r="K7" s="125">
        <f>SUM(K8:K9)</f>
        <v>449865055</v>
      </c>
      <c r="L7" s="125">
        <f>SUM(L8:L9)</f>
        <v>1235332709</v>
      </c>
      <c r="M7" s="125">
        <f>SUM(M8:M9)</f>
        <v>538332866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131">
        <v>926616304</v>
      </c>
      <c r="K8" s="7">
        <f>J8-516362705</f>
        <v>410253599</v>
      </c>
      <c r="L8" s="7">
        <v>1110588707</v>
      </c>
      <c r="M8" s="7">
        <f>L8-608663463</f>
        <v>501925244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131">
        <v>131384683</v>
      </c>
      <c r="K9" s="7">
        <f>J9-91773226-1</f>
        <v>39611456</v>
      </c>
      <c r="L9" s="7">
        <v>124744002</v>
      </c>
      <c r="M9" s="7">
        <f>L9-88336380</f>
        <v>36407622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123">
        <f>J11+J12+J16+J20+J21+J22+J25+J26</f>
        <v>1150440303</v>
      </c>
      <c r="K10" s="123">
        <f>K11+K12+K16+K20+K21+K22+K25+K26</f>
        <v>412876774</v>
      </c>
      <c r="L10" s="123">
        <f>L11+L12+L16+L20+L21+L22+L25+L26</f>
        <v>1258328615</v>
      </c>
      <c r="M10" s="123">
        <f>M11+M12+M16+M20+M21+M22+M25+M26</f>
        <v>470468347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123">
        <f>SUM(J13:J15)</f>
        <v>786900523</v>
      </c>
      <c r="K12" s="123">
        <f>SUM(K13:K15)</f>
        <v>295210722</v>
      </c>
      <c r="L12" s="123">
        <f>SUM(L13:L15)</f>
        <v>905679388</v>
      </c>
      <c r="M12" s="123">
        <f>SUM(M13:M15)</f>
        <v>349258421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224715751</v>
      </c>
      <c r="K13" s="7">
        <f>J13-134161757</f>
        <v>90553994</v>
      </c>
      <c r="L13" s="7">
        <v>309690563</v>
      </c>
      <c r="M13" s="7">
        <f>L13-182586827</f>
        <v>127103736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3870194</v>
      </c>
      <c r="K14" s="7">
        <f>J14-2325382</f>
        <v>1544812</v>
      </c>
      <c r="L14" s="7">
        <v>5885508</v>
      </c>
      <c r="M14" s="7">
        <f>L14-3552964</f>
        <v>2332544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558314578</v>
      </c>
      <c r="K15" s="7">
        <f>J15-355202662</f>
        <v>203111916</v>
      </c>
      <c r="L15" s="7">
        <v>590103317</v>
      </c>
      <c r="M15" s="7">
        <f>L15-370281176</f>
        <v>219822141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123">
        <f>SUM(J17:J19)</f>
        <v>176095573</v>
      </c>
      <c r="K16" s="123">
        <f>SUM(K17:K19)</f>
        <v>59661025</v>
      </c>
      <c r="L16" s="123">
        <f>SUM(L17:L19)</f>
        <v>182069257</v>
      </c>
      <c r="M16" s="123">
        <f>SUM(M17:M19)</f>
        <v>61761653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87910154</v>
      </c>
      <c r="K17" s="7">
        <f>J17-57821756</f>
        <v>30088398</v>
      </c>
      <c r="L17" s="7">
        <v>93768092</v>
      </c>
      <c r="M17" s="7">
        <f>L17-61990213</f>
        <v>31777879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55388862</v>
      </c>
      <c r="K18" s="7">
        <f>J18-36910670</f>
        <v>18478192</v>
      </c>
      <c r="L18" s="7">
        <v>54328225</v>
      </c>
      <c r="M18" s="7">
        <f>L18-35932087</f>
        <v>18396138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32796557</v>
      </c>
      <c r="K19" s="7">
        <f>J19-21702122</f>
        <v>11094435</v>
      </c>
      <c r="L19" s="7">
        <v>33972940</v>
      </c>
      <c r="M19" s="7">
        <f>L19-22385304</f>
        <v>11587636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110664530</v>
      </c>
      <c r="K20" s="7">
        <f>J20-74139373</f>
        <v>36525157</v>
      </c>
      <c r="L20" s="7">
        <v>104907714</v>
      </c>
      <c r="M20" s="7">
        <f>L20-70261784</f>
        <v>34645930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58287647</v>
      </c>
      <c r="K21" s="7">
        <f>J21-37858624</f>
        <v>20429023</v>
      </c>
      <c r="L21" s="7">
        <v>56617326</v>
      </c>
      <c r="M21" s="7">
        <f>L21-37028920</f>
        <v>19588406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123">
        <f>SUM(J23:J24)</f>
        <v>3995977</v>
      </c>
      <c r="K22" s="123">
        <f>SUM(K23:K24)</f>
        <v>36152</v>
      </c>
      <c r="L22" s="123">
        <f>SUM(L23:L24)</f>
        <v>96137</v>
      </c>
      <c r="M22" s="123">
        <f>SUM(M23:M24)</f>
        <v>12548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3995977</v>
      </c>
      <c r="K24" s="7">
        <f>J24-3859825-100000</f>
        <v>36152</v>
      </c>
      <c r="L24" s="7">
        <v>96137</v>
      </c>
      <c r="M24" s="7">
        <f>L24-83589</f>
        <v>12548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168438</v>
      </c>
      <c r="K25" s="7">
        <f>J25-168438</f>
        <v>0</v>
      </c>
      <c r="L25" s="7"/>
      <c r="M25" s="7">
        <v>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14327615</v>
      </c>
      <c r="K26" s="7">
        <f>J26-13312920</f>
        <v>1014695</v>
      </c>
      <c r="L26" s="7">
        <v>8958793</v>
      </c>
      <c r="M26" s="7">
        <f>L26-3757404</f>
        <v>5201389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123">
        <f>SUM(J28:J32)</f>
        <v>31354446</v>
      </c>
      <c r="K27" s="123">
        <f>SUM(K28:K32)</f>
        <v>25126</v>
      </c>
      <c r="L27" s="123">
        <f>SUM(L28:L32)</f>
        <v>39294465</v>
      </c>
      <c r="M27" s="123">
        <f>SUM(M28:M32)</f>
        <v>17647911</v>
      </c>
    </row>
    <row r="28" spans="1:13" ht="25.5" customHeight="1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65820</v>
      </c>
      <c r="K28" s="7">
        <f>J28-40695+1</f>
        <v>25126</v>
      </c>
      <c r="L28" s="7">
        <v>202207</v>
      </c>
      <c r="M28" s="7">
        <f>L28-202207</f>
        <v>0</v>
      </c>
    </row>
    <row r="29" spans="1:13" ht="24" customHeight="1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31036867</v>
      </c>
      <c r="K29" s="7">
        <v>0</v>
      </c>
      <c r="L29" s="7">
        <v>39092258</v>
      </c>
      <c r="M29" s="7">
        <f>L29-21444350+3</f>
        <v>17647911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f>829977-578218</f>
        <v>251759</v>
      </c>
      <c r="K32" s="7">
        <f>J32-251759</f>
        <v>0</v>
      </c>
      <c r="L32" s="7">
        <v>0</v>
      </c>
      <c r="M32" s="7">
        <f>L32-0</f>
        <v>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123">
        <f>SUM(J34:J37)</f>
        <v>48276522</v>
      </c>
      <c r="K33" s="123">
        <f>SUM(K34:K37)</f>
        <v>14924697</v>
      </c>
      <c r="L33" s="123">
        <f>SUM(L34:L37)</f>
        <v>55679297</v>
      </c>
      <c r="M33" s="123">
        <f>SUM(M34:M37)</f>
        <v>25119055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47034749</v>
      </c>
      <c r="K35" s="7">
        <v>14924697</v>
      </c>
      <c r="L35" s="7">
        <v>55679297</v>
      </c>
      <c r="M35" s="7">
        <f>L35-30560242</f>
        <v>25119055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538233</v>
      </c>
      <c r="K36" s="7">
        <v>0</v>
      </c>
      <c r="L36" s="7"/>
      <c r="M36" s="7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703540</v>
      </c>
      <c r="K37" s="7">
        <v>0</v>
      </c>
      <c r="L37" s="7"/>
      <c r="M37" s="7">
        <v>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578218</v>
      </c>
      <c r="K38" s="7">
        <f>J38+40695</f>
        <v>618913</v>
      </c>
      <c r="L38" s="7">
        <v>782350</v>
      </c>
      <c r="M38" s="7">
        <f>+L38-88603</f>
        <v>693747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f>J39</f>
        <v>0</v>
      </c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123">
        <f>J7+J27+J38+J40</f>
        <v>1089933651</v>
      </c>
      <c r="K42" s="123">
        <f>K7+K27+K38+K40</f>
        <v>450509094</v>
      </c>
      <c r="L42" s="123">
        <f>L7+L27+L38+L40</f>
        <v>1275409524</v>
      </c>
      <c r="M42" s="123">
        <f>M7+M27+M38+M40</f>
        <v>556674524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123">
        <f>J10+J33+J39+J41</f>
        <v>1198716825</v>
      </c>
      <c r="K43" s="123">
        <f>K10+K33+K39+K41</f>
        <v>427801471</v>
      </c>
      <c r="L43" s="123">
        <f>L10+L33+L39+L41</f>
        <v>1314007912</v>
      </c>
      <c r="M43" s="123">
        <f>M10+M33+M39+M41</f>
        <v>495587402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123">
        <f>J42-J43</f>
        <v>-108783174</v>
      </c>
      <c r="K44" s="123">
        <f>K42-K43</f>
        <v>22707623</v>
      </c>
      <c r="L44" s="123">
        <f>L42-L43</f>
        <v>-38598388</v>
      </c>
      <c r="M44" s="123">
        <f>M42-M43</f>
        <v>61087122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123">
        <f>IF(J42&gt;J43,J42-J43,0)</f>
        <v>0</v>
      </c>
      <c r="K45" s="123">
        <f>IF(K42&gt;K43,K42-K43,0)</f>
        <v>22707623</v>
      </c>
      <c r="L45" s="123">
        <f>IF(L42&gt;L43,L42-L43,0)</f>
        <v>0</v>
      </c>
      <c r="M45" s="123">
        <f>IF(M42&gt;M43,M42-M43,0)</f>
        <v>61087122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123">
        <f>IF(J43&gt;J42,J43-J42,0)</f>
        <v>108783174</v>
      </c>
      <c r="K46" s="123">
        <f>IF(K43&gt;K42,K43-K42,0)</f>
        <v>0</v>
      </c>
      <c r="L46" s="123">
        <f>IF(L43&gt;L42,L43-L42,0)</f>
        <v>38598388</v>
      </c>
      <c r="M46" s="123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123">
        <f>J44-J47</f>
        <v>-108783174</v>
      </c>
      <c r="K48" s="123">
        <f>K44-K47</f>
        <v>22707623</v>
      </c>
      <c r="L48" s="123">
        <f>L44-L47</f>
        <v>-38598388</v>
      </c>
      <c r="M48" s="123">
        <f>M44-M47</f>
        <v>61087122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123">
        <f>IF(J48&gt;0,J48,0)</f>
        <v>0</v>
      </c>
      <c r="K49" s="123">
        <f>IF(K48&gt;0,K48,0)</f>
        <v>22707623</v>
      </c>
      <c r="L49" s="123">
        <f>IF(L48&gt;0,L48,0)</f>
        <v>0</v>
      </c>
      <c r="M49" s="123">
        <f>IF(M48&gt;0,M48,0)</f>
        <v>61087122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4">
        <v>154</v>
      </c>
      <c r="J50" s="126">
        <f>IF(J48&lt;0,-J48,0)</f>
        <v>108783174</v>
      </c>
      <c r="K50" s="126">
        <f>IF(K48&lt;0,-K48,0)</f>
        <v>0</v>
      </c>
      <c r="L50" s="126">
        <f>IF(L48&lt;0,-L48,0)</f>
        <v>38598388</v>
      </c>
      <c r="M50" s="126">
        <f>IF(M48&lt;0,-M48,0)</f>
        <v>0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2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129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f>J48</f>
        <v>-108783174</v>
      </c>
      <c r="K53" s="7">
        <f>K48</f>
        <v>22707623</v>
      </c>
      <c r="L53" s="7">
        <f>L48</f>
        <v>-38598388</v>
      </c>
      <c r="M53" s="7">
        <f>M48</f>
        <v>61087122</v>
      </c>
    </row>
    <row r="54" spans="1:13" ht="12.75">
      <c r="A54" s="235" t="s">
        <v>235</v>
      </c>
      <c r="B54" s="236"/>
      <c r="C54" s="236"/>
      <c r="D54" s="236"/>
      <c r="E54" s="236"/>
      <c r="F54" s="236"/>
      <c r="G54" s="236"/>
      <c r="H54" s="237"/>
      <c r="I54" s="4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f>+J48</f>
        <v>-108783174</v>
      </c>
      <c r="K56" s="6">
        <f>+K48</f>
        <v>22707623</v>
      </c>
      <c r="L56" s="6">
        <f>+L48</f>
        <v>-38598388</v>
      </c>
      <c r="M56" s="6">
        <f>+M48</f>
        <v>61087122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123">
        <f>SUM(J58:J64)</f>
        <v>-588118</v>
      </c>
      <c r="K57" s="123">
        <f>SUM(K58:K64)</f>
        <v>-6678062</v>
      </c>
      <c r="L57" s="123">
        <f>SUM(L58:L64)</f>
        <v>-7253528</v>
      </c>
      <c r="M57" s="123">
        <f>SUM(M58:M64)</f>
        <v>-7962516.64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26.25" customHeight="1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26.25" customHeight="1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-588118</v>
      </c>
      <c r="K61" s="7">
        <f>J61-6089944</f>
        <v>-6678062</v>
      </c>
      <c r="L61" s="7">
        <v>-7253528</v>
      </c>
      <c r="M61" s="7">
        <f>L61-708988.64</f>
        <v>-7962516.64</v>
      </c>
    </row>
    <row r="62" spans="1:13" ht="25.5" customHeight="1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25.5" customHeight="1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123">
        <f>J57-J65</f>
        <v>-588118</v>
      </c>
      <c r="K66" s="123">
        <f>K57-K65</f>
        <v>-6678062</v>
      </c>
      <c r="L66" s="123">
        <f>L57-L65</f>
        <v>-7253528</v>
      </c>
      <c r="M66" s="123">
        <f>M57-M65</f>
        <v>-7962516.64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4">
        <v>168</v>
      </c>
      <c r="J67" s="126">
        <f>J56+J66</f>
        <v>-109371292</v>
      </c>
      <c r="K67" s="126">
        <f>K56+K66</f>
        <v>16029561</v>
      </c>
      <c r="L67" s="126">
        <f>L56+L66</f>
        <v>-45851916</v>
      </c>
      <c r="M67" s="126">
        <f>M56+M66</f>
        <v>53124605.36</v>
      </c>
    </row>
    <row r="68" spans="1:13" ht="12.75" customHeight="1">
      <c r="A68" s="238" t="s">
        <v>313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f>+J67</f>
        <v>-109371292</v>
      </c>
      <c r="K70" s="7">
        <f>+K67</f>
        <v>16029561</v>
      </c>
      <c r="L70" s="7">
        <f>+L67</f>
        <v>-45851916</v>
      </c>
      <c r="M70" s="7">
        <f>+M67</f>
        <v>53124605.36</v>
      </c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protectedRanges>
    <protectedRange sqref="J8" name="Range1_3"/>
  </protectedRanges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K66:M67 K57:M57 K56:L56 J70:L71 J53:L54 K58:L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28:L32 K33:M33 K10:M10 K27:M27 K23:L26 K22:M22 K17:L21 K16:M16 K13:L15 K12:M12 J7:J10 K8:L9 K7:M7 J48:M50 K34:L41">
      <formula1>0</formula1>
    </dataValidation>
  </dataValidations>
  <printOptions/>
  <pageMargins left="0.4724409448818898" right="0.2755905511811024" top="0.8661417322834646" bottom="0.7480314960629921" header="0.5118110236220472" footer="0.5118110236220472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6" width="9.140625" style="52" customWidth="1"/>
    <col min="7" max="7" width="7.00390625" style="52" customWidth="1"/>
    <col min="8" max="8" width="5.00390625" style="52" customWidth="1"/>
    <col min="9" max="9" width="9.140625" style="52" customWidth="1"/>
    <col min="10" max="10" width="10.42187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352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348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4" t="s">
        <v>279</v>
      </c>
      <c r="J4" s="65" t="s">
        <v>319</v>
      </c>
      <c r="K4" s="65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6">
        <v>2</v>
      </c>
      <c r="J5" s="67" t="s">
        <v>283</v>
      </c>
      <c r="K5" s="67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3"/>
      <c r="J6" s="253"/>
      <c r="K6" s="254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-108783174</v>
      </c>
      <c r="K7" s="7">
        <v>-38598388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110664530</v>
      </c>
      <c r="K8" s="7">
        <v>104907714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62915173</v>
      </c>
      <c r="K9" s="7">
        <v>33694172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0</v>
      </c>
      <c r="K10" s="7">
        <v>0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0</v>
      </c>
      <c r="K11" s="7">
        <v>0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96933124</v>
      </c>
      <c r="K12" s="7">
        <v>139043649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127">
        <f>SUM(J7:J12)</f>
        <v>161729653</v>
      </c>
      <c r="K13" s="123">
        <f>SUM(K7:K12)</f>
        <v>239047147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630682</v>
      </c>
      <c r="K14" s="7">
        <v>0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65214054</v>
      </c>
      <c r="K15" s="7">
        <v>50916404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1599378</v>
      </c>
      <c r="K16" s="7">
        <v>5771925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18355047</v>
      </c>
      <c r="K17" s="7">
        <v>9741755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127">
        <f>SUM(J14:J17)</f>
        <v>85799161</v>
      </c>
      <c r="K18" s="123">
        <f>SUM(K14:K17)</f>
        <v>66430084</v>
      </c>
    </row>
    <row r="19" spans="1:11" ht="25.5" customHeight="1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127">
        <f>IF(J13&gt;J18,J13-J18,0)</f>
        <v>75930492</v>
      </c>
      <c r="K19" s="123">
        <f>IF(K13&gt;K18,K13-K18,0)</f>
        <v>172617063</v>
      </c>
    </row>
    <row r="20" spans="1:11" ht="26.25" customHeight="1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127">
        <f>IF(J18&gt;J13,J18-J13,0)</f>
        <v>0</v>
      </c>
      <c r="K20" s="123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3"/>
      <c r="J21" s="253"/>
      <c r="K21" s="254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1660256</v>
      </c>
      <c r="K22" s="7">
        <v>643726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0</v>
      </c>
      <c r="K23" s="7">
        <v>0</v>
      </c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0</v>
      </c>
      <c r="K24" s="7">
        <v>0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0</v>
      </c>
      <c r="K25" s="7">
        <v>0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21278693</v>
      </c>
      <c r="K26" s="7">
        <v>0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127">
        <f>SUM(J22:J26)</f>
        <v>22938949</v>
      </c>
      <c r="K27" s="123">
        <f>SUM(K22:K26)</f>
        <v>643726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49390219</v>
      </c>
      <c r="K28" s="7">
        <v>31965964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0</v>
      </c>
      <c r="K29" s="7">
        <v>0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1402328</v>
      </c>
      <c r="K30" s="7">
        <v>22999660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127">
        <f>SUM(J28:J30)</f>
        <v>50792547</v>
      </c>
      <c r="K31" s="123">
        <f>SUM(K28:K30)</f>
        <v>54965624</v>
      </c>
    </row>
    <row r="32" spans="1:11" ht="25.5" customHeight="1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127">
        <f>IF(J27&gt;J31,J27-J31,0)</f>
        <v>0</v>
      </c>
      <c r="K32" s="123">
        <f>IF(K27&gt;K31,K27-K31,0)</f>
        <v>0</v>
      </c>
    </row>
    <row r="33" spans="1:11" ht="25.5" customHeight="1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127">
        <f>IF(J31&gt;J27,J31-J27,0)</f>
        <v>27853598</v>
      </c>
      <c r="K33" s="123">
        <f>IF(K31&gt;K27,K31-K27,0)</f>
        <v>54321898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3"/>
      <c r="J34" s="253"/>
      <c r="K34" s="254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>
        <v>0</v>
      </c>
      <c r="K35" s="7">
        <v>0</v>
      </c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14668218</v>
      </c>
      <c r="K36" s="7">
        <v>1203721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0</v>
      </c>
      <c r="K37" s="7">
        <v>0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127">
        <f>SUM(J35:J37)</f>
        <v>14668218</v>
      </c>
      <c r="K38" s="123">
        <f>SUM(K35:K37)</f>
        <v>1203721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79794898</v>
      </c>
      <c r="K39" s="7">
        <v>81252590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0</v>
      </c>
      <c r="K40" s="7">
        <v>0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368795</v>
      </c>
      <c r="K41" s="7">
        <v>371853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>
        <v>0</v>
      </c>
      <c r="K42" s="7">
        <v>0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10215305</v>
      </c>
      <c r="K43" s="7">
        <v>17017102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127">
        <f>SUM(J39:J43)</f>
        <v>90378998</v>
      </c>
      <c r="K44" s="123">
        <f>SUM(K39:K43)</f>
        <v>98641545</v>
      </c>
    </row>
    <row r="45" spans="1:11" ht="25.5" customHeight="1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127">
        <f>IF(J38&gt;J44,J38-J44,0)</f>
        <v>0</v>
      </c>
      <c r="K45" s="123">
        <f>IF(K38&gt;K44,K38-K44,0)</f>
        <v>0</v>
      </c>
    </row>
    <row r="46" spans="1:11" ht="24.75" customHeight="1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127">
        <f>IF(J44&gt;J38,J44-J38,0)</f>
        <v>75710780</v>
      </c>
      <c r="K46" s="123">
        <f>IF(K44&gt;K38,K44-K38,0)</f>
        <v>97437824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127">
        <f>IF(J19-J20+J32-J33+J45-J46&gt;0,J19-J20+J32-J33+J45-J46,0)</f>
        <v>0</v>
      </c>
      <c r="K47" s="123">
        <f>IF(K19-K20+K32-K33+K45-K46&gt;0,K19-K20+K32-K33+K45-K46,0)</f>
        <v>20857341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127">
        <f>IF(J20-J19+J33-J32+J46-J45&gt;0,J20-J19+J33-J32+J46-J45,0)</f>
        <v>27633886</v>
      </c>
      <c r="K48" s="123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69543779</v>
      </c>
      <c r="K49" s="7">
        <v>53472743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>
        <v>20857341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27633887</v>
      </c>
      <c r="K51" s="7">
        <v>0</v>
      </c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130">
        <f>J49+J50-J51</f>
        <v>41909892</v>
      </c>
      <c r="K52" s="126">
        <f>K49+K50-K51</f>
        <v>74330084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31496062992125984" top="0.984251968503937" bottom="0.71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4" t="s">
        <v>279</v>
      </c>
      <c r="J4" s="65" t="s">
        <v>319</v>
      </c>
      <c r="K4" s="65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0">
        <v>2</v>
      </c>
      <c r="J5" s="71" t="s">
        <v>283</v>
      </c>
      <c r="K5" s="71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3"/>
      <c r="J6" s="253"/>
      <c r="K6" s="254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09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3"/>
      <c r="J22" s="253"/>
      <c r="K22" s="254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3">
        <v>0</v>
      </c>
      <c r="J35" s="253"/>
      <c r="K35" s="254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24" sqref="M24"/>
    </sheetView>
  </sheetViews>
  <sheetFormatPr defaultColWidth="9.140625" defaultRowHeight="12.75"/>
  <cols>
    <col min="1" max="4" width="9.140625" style="74" customWidth="1"/>
    <col min="5" max="5" width="10.421875" style="74" bestFit="1" customWidth="1"/>
    <col min="6" max="6" width="4.8515625" style="74" customWidth="1"/>
    <col min="7" max="7" width="4.57421875" style="74" customWidth="1"/>
    <col min="8" max="8" width="6.140625" style="74" customWidth="1"/>
    <col min="9" max="9" width="9.140625" style="74" customWidth="1"/>
    <col min="10" max="11" width="10.140625" style="74" bestFit="1" customWidth="1"/>
    <col min="12" max="16384" width="9.140625" style="74" customWidth="1"/>
  </cols>
  <sheetData>
    <row r="1" spans="1:12" ht="17.25" customHeight="1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3"/>
    </row>
    <row r="2" spans="1:12" ht="15.75">
      <c r="A2" s="42"/>
      <c r="B2" s="72"/>
      <c r="C2" s="269" t="s">
        <v>282</v>
      </c>
      <c r="D2" s="269"/>
      <c r="E2" s="75">
        <v>40544</v>
      </c>
      <c r="F2" s="43" t="s">
        <v>250</v>
      </c>
      <c r="G2" s="270">
        <v>40816</v>
      </c>
      <c r="H2" s="271"/>
      <c r="I2" s="72"/>
      <c r="J2" s="72"/>
      <c r="K2" s="72"/>
      <c r="L2" s="76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78" t="s">
        <v>305</v>
      </c>
      <c r="J3" s="79" t="s">
        <v>150</v>
      </c>
      <c r="K3" s="79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1">
        <v>2</v>
      </c>
      <c r="J4" s="80" t="s">
        <v>283</v>
      </c>
      <c r="K4" s="80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989985500</v>
      </c>
      <c r="K5" s="45">
        <v>989985500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0</v>
      </c>
      <c r="K6" s="46">
        <v>0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26782</v>
      </c>
      <c r="K7" s="46">
        <v>-7111174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-790967504</v>
      </c>
      <c r="K8" s="46">
        <v>-947521287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-156236004</v>
      </c>
      <c r="K9" s="46">
        <v>-38598388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100864360</v>
      </c>
      <c r="K10" s="46">
        <v>91302993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>
        <v>0</v>
      </c>
      <c r="K11" s="46">
        <v>0</v>
      </c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>
        <v>0</v>
      </c>
      <c r="K12" s="46">
        <v>0</v>
      </c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>
        <v>0</v>
      </c>
      <c r="K13" s="46">
        <v>0</v>
      </c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123">
        <f>SUM(J5:J13)</f>
        <v>143673134</v>
      </c>
      <c r="K14" s="123">
        <f>SUM(K5:K13)</f>
        <v>88057644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>
        <v>0</v>
      </c>
      <c r="K15" s="46">
        <v>0</v>
      </c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>
        <v>0</v>
      </c>
      <c r="K16" s="46">
        <v>0</v>
      </c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>
        <v>-6708275</v>
      </c>
      <c r="K17" s="46">
        <v>-7253528</v>
      </c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>
        <v>0</v>
      </c>
      <c r="K18" s="46">
        <v>0</v>
      </c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>
        <v>0</v>
      </c>
      <c r="K19" s="46">
        <v>0</v>
      </c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>
        <v>-169050313</v>
      </c>
      <c r="K20" s="46">
        <f>-48470065+108103</f>
        <v>-48361962</v>
      </c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126">
        <f>SUM(J15:J20)</f>
        <v>-175758588</v>
      </c>
      <c r="K21" s="126">
        <f>SUM(K15:K20)</f>
        <v>-55615490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>
        <v>-175758588</v>
      </c>
      <c r="K23" s="45">
        <f>K21</f>
        <v>-55615490</v>
      </c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7">
        <v>0</v>
      </c>
      <c r="K24" s="77">
        <v>0</v>
      </c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2011-11-03T08:12:42Z</cp:lastPrinted>
  <dcterms:created xsi:type="dcterms:W3CDTF">2008-10-17T11:51:54Z</dcterms:created>
  <dcterms:modified xsi:type="dcterms:W3CDTF">2011-11-03T11:54:44Z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