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<sst xmlns="http://schemas.openxmlformats.org/spreadsheetml/2006/main" count="405" uniqueCount="349">
  <si>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</si>
  <si>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</si>
  <si>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</si>
  <si>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</si>
  <si>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</si>
  <si>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</si>
  <si>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</si>
  <si>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</si>
  <si>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</si>
  <si>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</si>
  <si>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</si>
  <si>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</si>
  <si>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</si>
  <si>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</si>
  <si>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</si>
  <si>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</si>
  <si>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</si>
  <si>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</si>
  <si>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</si>
  <si>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</si>
  <si>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</si>
  <si>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</si>
  <si>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</si>
  <si>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</si>
  <si>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</si>
  <si>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</si>
  <si>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</si>
  <si>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</si>
  <si>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</si>
  <si>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</si>
  <si>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</si>
  <si>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</si>
  <si>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</si>
  <si>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</si>
  <si>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</si>
  <si>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</si>
  <si>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</si>
  <si>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</si>
  <si>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</si>
  <si>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</si>
  <si>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</si>
  <si>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</si>
  <si>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</si>
  <si>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</si>
  <si>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</si>
  <si>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</si>
  <si>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</si>
  <si>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</si>
  <si>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</si>
  <si>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</si>
  <si>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</si>
  <si>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</si>
  <si>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</si>
  <si>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</si>
  <si>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</si>
  <si>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</si>
  <si>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</si>
  <si>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</si>
  <si>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</si>
  <si>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</si>
  <si>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</si>
  <si>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</si>
  <si>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</si>
  <si>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</si>
  <si>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</si>
  <si>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</si>
  <si>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</si>
  <si>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</si>
  <si>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</si>
  <si>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</si>
  <si>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</si>
  <si>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</si>
  <si>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</si>
  <si>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</si>
  <si>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</si>
  <si>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</si>
  <si>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</si>
  <si>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</si>
  <si>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</si>
  <si>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</si>
  <si>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</si>
  <si>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</si>
  <si>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</si>
  <si>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</si>
  <si>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</si>
  <si>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</si>
  <si>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</si>
  <si>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</si>
  <si>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</si>
  <si>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</si>
  <si>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</si>
  <si>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</si>
  <si>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</si>
  <si>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</si>
  <si>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</si>
  <si>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</si>
  <si>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</si>
  <si>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</si>
  <si>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</si>
  <si>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</si>
  <si>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</si>
  <si>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</si>
  <si>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</si>
  <si>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</si>
  <si>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</si>
  <si>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</si>
  <si>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</si>
  <si>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</si>
  <si>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</si>
  <si>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</si>
  <si>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</si>
  <si>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</si>
  <si>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</si>
  <si>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</si>
  <si>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</si>
  <si>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</si>
  <si>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</si>
  <si>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</si>
  <si>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</si>
  <si>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</si>
  <si>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</si>
  <si>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</si>
  <si>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</si>
  <si>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</si>
  <si>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</si>
  <si>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</si>
  <si>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</si>
  <si>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</si>
  <si>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</si>
  <si>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</si>
  <si>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</si>
  <si>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</si>
  <si>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</si>
  <si>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</si>
  <si>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</si>
  <si>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</si>
  <si>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</si>
  <si>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</si>
  <si>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</si>
  <si>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</si>
  <si>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</si>
  <si>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</si>
  <si>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</si>
  <si>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</si>
  <si>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</si>
  <si>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</si>
  <si>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</si>
  <si>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</si>
  <si>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</si>
  <si>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</si>
  <si>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</si>
  <si>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</si>
  <si>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</si>
  <si>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</si>
  <si>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</si>
  <si>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</si>
  <si>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</si>
  <si>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</si>
  <si>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</si>
  <si>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</si>
  <si>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</si>
  <si>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</si>
  <si>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</si>
  <si>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</si>
  <si>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</si>
  <si>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</si>
  <si>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</si>
  <si>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</si>
  <si>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</si>
  <si>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</si>
  <si>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</si>
  <si>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</si>
  <si>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</si>
  <si>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</si>
  <si>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</si>
  <si>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</si>
  <si>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</si>
  <si>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</si>
  <si>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</si>
  <si>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</si>
  <si>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</si>
  <si>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</si>
  <si>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</si>
  <si>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</si>
  <si>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</si>
  <si>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</si>
  <si>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</si>
  <si>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</si>
  <si>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</si>
  <si>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</si>
  <si>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</si>
  <si>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</si>
  <si>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</si>
  <si>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</si>
  <si>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</si>
  <si>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</si>
  <si>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</si>
  <si>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</si>
  <si>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</si>
  <si>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</si>
  <si>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</si>
  <si>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</si>
  <si>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</si>
  <si>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</si>
  <si>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</si>
  <si>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</si>
  <si>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</si>
  <si>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</si>
  <si>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</si>
  <si>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</si>
  <si>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</si>
  <si>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</si>
  <si>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</si>
  <si>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</si>
  <si>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</si>
  <si>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</si>
  <si>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</si>
  <si>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</si>
  <si>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</si>
  <si>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</si>
  <si>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</si>
  <si>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</si>
  <si>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</si>
  <si>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</si>
  <si>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</si>
  <si>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</si>
  <si>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</si>
  <si>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</si>
  <si>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</si>
  <si>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</si>
  <si>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</si>
  <si>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</si>
  <si>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</si>
  <si>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</si>
  <si>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</si>
  <si>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</si>
  <si>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</si>
  <si>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</si>
  <si>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</si>
  <si>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</si>
  <si>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</si>
  <si>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</si>
  <si>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</si>
  <si>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</si>
  <si>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</si>
  <si>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</si>
  <si>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</si>
  <si>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</si>
  <si>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</si>
  <si>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</si>
  <si>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</si>
  <si>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</si>
  <si>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</si>
  <si>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</si>
  <si>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</si>
  <si>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</si>
  <si>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</si>
  <si>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</si>
  <si>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</si>
  <si>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</si>
  <si>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</si>
  <si>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</si>
  <si>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</si>
  <si>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</si>
  <si>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</si>
  <si>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</si>
  <si>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</si>
  <si>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</si>
  <si>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</si>
  <si>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</si>
  <si>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</si>
  <si>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</si>
  <si>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</si>
  <si>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</si>
  <si>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</si>
  <si>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</si>
  <si>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</si>
  <si>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</si>
  <si>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</si>
  <si>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</si>
  <si>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</si>
  <si>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</si>
  <si>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</si>
  <si>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</si>
  <si>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</si>
  <si>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</si>
  <si>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</si>
  <si>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</si>
  <si>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</si>
  <si>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</si>
  <si>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</si>
  <si>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</si>
  <si>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</si>
  <si>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</si>
  <si>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</si>
  <si>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</si>
  <si>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</si>
  <si>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</si>
  <si>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</si>
  <si>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</si>
  <si>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</si>
  <si>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</si>
  <si>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</si>
  <si>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</si>
  <si>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</si>
  <si>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</si>
  <si>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</si>
  <si>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</si>
  <si>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</si>
  <si>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</si>
  <si>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</si>
  <si>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</si>
  <si>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</si>
  <si>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</si>
  <si>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</si>
  <si>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</si>
  <si>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</si>
  <si>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</si>
  <si>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</si>
  <si>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</si>
  <si>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</si>
  <si>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</si>
  <si>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</si>
  <si>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03244024</t>
  </si>
  <si>
    <t>040051487</t>
  </si>
  <si>
    <t>BRIONKA d.d.</t>
  </si>
  <si>
    <t>PULA</t>
  </si>
  <si>
    <t>TRŠĆANSKA 35</t>
  </si>
  <si>
    <t>info@brionka.hr</t>
  </si>
  <si>
    <t>www.brionka.hr</t>
  </si>
  <si>
    <t>ISTARSKA</t>
  </si>
  <si>
    <t>1061</t>
  </si>
  <si>
    <t>NE</t>
  </si>
  <si>
    <t>052/541684</t>
  </si>
  <si>
    <t>tea.mateljak@brionka.hr</t>
  </si>
  <si>
    <t>Obveznik: BRIONKA d.d.</t>
  </si>
  <si>
    <t>45422293596</t>
  </si>
  <si>
    <t>Mateljak Tea</t>
  </si>
  <si>
    <t>Soldatić Korado</t>
  </si>
  <si>
    <t>252/350915</t>
  </si>
  <si>
    <t xml:space="preserve"> </t>
  </si>
  <si>
    <t>u razdoblju 01.01.2013. do 31.12.2013.</t>
  </si>
  <si>
    <t>stanje na dan 31.12.2013.</t>
  </si>
  <si>
    <t>31.12.2013.</t>
  </si>
  <si>
    <t>Brionka d.d.</t>
  </si>
  <si>
    <t xml:space="preserve">Pozicije  u bilanci i računu dobiti i gubitka predstavljaju realna stanja. </t>
  </si>
  <si>
    <t>predstečajnoj nagodbi (NN 108/2012) dana 20.01.2014. godine. Temeljem koje je napravljena revizija</t>
  </si>
  <si>
    <t xml:space="preserve">Brionci d.d. otvoren je postupak predstečajne nagodbe prema Zakonu o financijskom poslovanju i </t>
  </si>
  <si>
    <t>financijskih izvješća. Provedena su vrijednosna usklađenja i revidirana su sva potaživanja.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</si>
</sst>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5" fillId="0" borderId="0" xfId="61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0" t="s">
        <v>248</v>
      </c>
      <c r="B1" s="171"/>
      <c r="C1" s="171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36" t="s">
        <v>249</v>
      </c>
      <c r="B2" s="137"/>
      <c r="C2" s="137"/>
      <c r="D2" s="138"/>
      <c r="E2" s="116" t="s">
        <v>322</v>
      </c>
      <c r="F2" s="12"/>
      <c r="G2" s="13" t="s">
        <v>250</v>
      </c>
      <c r="H2" s="116" t="s">
        <v>343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39" t="s">
        <v>316</v>
      </c>
      <c r="B4" s="140"/>
      <c r="C4" s="140"/>
      <c r="D4" s="140"/>
      <c r="E4" s="140"/>
      <c r="F4" s="140"/>
      <c r="G4" s="140"/>
      <c r="H4" s="140"/>
      <c r="I4" s="141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2" t="s">
        <v>251</v>
      </c>
      <c r="B6" s="143"/>
      <c r="C6" s="134" t="s">
        <v>323</v>
      </c>
      <c r="D6" s="135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44" t="s">
        <v>252</v>
      </c>
      <c r="B8" s="145"/>
      <c r="C8" s="134" t="s">
        <v>324</v>
      </c>
      <c r="D8" s="135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8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1" t="s">
        <v>253</v>
      </c>
      <c r="B10" s="132"/>
      <c r="C10" s="134" t="s">
        <v>336</v>
      </c>
      <c r="D10" s="135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3"/>
      <c r="B11" s="132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2" t="s">
        <v>254</v>
      </c>
      <c r="B12" s="143"/>
      <c r="C12" s="146" t="s">
        <v>325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2" t="s">
        <v>255</v>
      </c>
      <c r="B14" s="143"/>
      <c r="C14" s="152">
        <v>52100</v>
      </c>
      <c r="D14" s="153"/>
      <c r="E14" s="16"/>
      <c r="F14" s="146" t="s">
        <v>326</v>
      </c>
      <c r="G14" s="147"/>
      <c r="H14" s="147"/>
      <c r="I14" s="148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2" t="s">
        <v>256</v>
      </c>
      <c r="B16" s="143"/>
      <c r="C16" s="146" t="s">
        <v>327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2" t="s">
        <v>257</v>
      </c>
      <c r="B18" s="143"/>
      <c r="C18" s="149" t="s">
        <v>328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2" t="s">
        <v>258</v>
      </c>
      <c r="B20" s="143"/>
      <c r="C20" s="149" t="s">
        <v>329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2" t="s">
        <v>259</v>
      </c>
      <c r="B22" s="143"/>
      <c r="C22" s="117">
        <v>359</v>
      </c>
      <c r="D22" s="146" t="s">
        <v>326</v>
      </c>
      <c r="E22" s="154"/>
      <c r="F22" s="155"/>
      <c r="G22" s="142"/>
      <c r="H22" s="157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2" t="s">
        <v>260</v>
      </c>
      <c r="B24" s="143"/>
      <c r="C24" s="117">
        <v>18</v>
      </c>
      <c r="D24" s="146" t="s">
        <v>330</v>
      </c>
      <c r="E24" s="154"/>
      <c r="F24" s="154"/>
      <c r="G24" s="155"/>
      <c r="H24" s="49" t="s">
        <v>261</v>
      </c>
      <c r="I24" s="118">
        <v>12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317</v>
      </c>
      <c r="I25" s="94"/>
      <c r="J25" s="10"/>
      <c r="K25" s="10"/>
      <c r="L25" s="10"/>
    </row>
    <row r="26" spans="1:12" ht="12.75">
      <c r="A26" s="142" t="s">
        <v>262</v>
      </c>
      <c r="B26" s="143"/>
      <c r="C26" s="119" t="s">
        <v>332</v>
      </c>
      <c r="D26" s="25"/>
      <c r="E26" s="33"/>
      <c r="F26" s="24"/>
      <c r="G26" s="156" t="s">
        <v>263</v>
      </c>
      <c r="H26" s="143"/>
      <c r="I26" s="120" t="s">
        <v>331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0"/>
      <c r="B30" s="161"/>
      <c r="C30" s="161"/>
      <c r="D30" s="162"/>
      <c r="E30" s="160"/>
      <c r="F30" s="161"/>
      <c r="G30" s="161"/>
      <c r="H30" s="134"/>
      <c r="I30" s="135"/>
      <c r="J30" s="10"/>
      <c r="K30" s="10"/>
      <c r="L30" s="10"/>
    </row>
    <row r="31" spans="1:12" ht="12.75">
      <c r="A31" s="90"/>
      <c r="B31" s="22"/>
      <c r="C31" s="21"/>
      <c r="D31" s="158"/>
      <c r="E31" s="158"/>
      <c r="F31" s="158"/>
      <c r="G31" s="159"/>
      <c r="H31" s="16"/>
      <c r="I31" s="97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34"/>
      <c r="I32" s="135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34"/>
      <c r="I34" s="135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34"/>
      <c r="I36" s="135"/>
      <c r="J36" s="10"/>
      <c r="K36" s="10"/>
      <c r="L36" s="10"/>
    </row>
    <row r="37" spans="1:12" ht="12.75">
      <c r="A37" s="99"/>
      <c r="B37" s="30"/>
      <c r="C37" s="172"/>
      <c r="D37" s="173"/>
      <c r="E37" s="16"/>
      <c r="F37" s="172"/>
      <c r="G37" s="173"/>
      <c r="H37" s="16"/>
      <c r="I37" s="91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34"/>
      <c r="I38" s="135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34"/>
      <c r="I40" s="135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1" t="s">
        <v>267</v>
      </c>
      <c r="B44" s="181"/>
      <c r="C44" s="134"/>
      <c r="D44" s="135"/>
      <c r="E44" s="26"/>
      <c r="F44" s="146"/>
      <c r="G44" s="161"/>
      <c r="H44" s="161"/>
      <c r="I44" s="162"/>
      <c r="J44" s="10"/>
      <c r="K44" s="10"/>
      <c r="L44" s="10"/>
    </row>
    <row r="45" spans="1:12" ht="12.75">
      <c r="A45" s="99"/>
      <c r="B45" s="30"/>
      <c r="C45" s="172"/>
      <c r="D45" s="173"/>
      <c r="E45" s="16"/>
      <c r="F45" s="172"/>
      <c r="G45" s="174"/>
      <c r="H45" s="35"/>
      <c r="I45" s="103"/>
      <c r="J45" s="10"/>
      <c r="K45" s="10"/>
      <c r="L45" s="10"/>
    </row>
    <row r="46" spans="1:12" ht="12.75">
      <c r="A46" s="131" t="s">
        <v>268</v>
      </c>
      <c r="B46" s="181"/>
      <c r="C46" s="146" t="s">
        <v>337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1" t="s">
        <v>270</v>
      </c>
      <c r="B48" s="181"/>
      <c r="C48" s="182" t="s">
        <v>339</v>
      </c>
      <c r="D48" s="183"/>
      <c r="E48" s="184"/>
      <c r="F48" s="16"/>
      <c r="G48" s="49" t="s">
        <v>271</v>
      </c>
      <c r="H48" s="182" t="s">
        <v>333</v>
      </c>
      <c r="I48" s="184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1" t="s">
        <v>257</v>
      </c>
      <c r="B50" s="181"/>
      <c r="C50" s="187" t="s">
        <v>334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2" t="s">
        <v>272</v>
      </c>
      <c r="B52" s="143"/>
      <c r="C52" s="182" t="s">
        <v>338</v>
      </c>
      <c r="D52" s="183"/>
      <c r="E52" s="183"/>
      <c r="F52" s="183"/>
      <c r="G52" s="183"/>
      <c r="H52" s="183"/>
      <c r="I52" s="148"/>
      <c r="J52" s="10"/>
      <c r="K52" s="10"/>
      <c r="L52" s="10"/>
    </row>
    <row r="53" spans="1:12" ht="12.75">
      <c r="A53" s="104"/>
      <c r="B53" s="20"/>
      <c r="C53" s="177" t="s">
        <v>273</v>
      </c>
      <c r="D53" s="177"/>
      <c r="E53" s="177"/>
      <c r="F53" s="177"/>
      <c r="G53" s="177"/>
      <c r="H53" s="177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8" t="s">
        <v>274</v>
      </c>
      <c r="C55" s="189"/>
      <c r="D55" s="189"/>
      <c r="E55" s="189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4"/>
      <c r="B57" s="190" t="s">
        <v>307</v>
      </c>
      <c r="C57" s="191"/>
      <c r="D57" s="191"/>
      <c r="E57" s="191"/>
      <c r="F57" s="191"/>
      <c r="G57" s="191"/>
      <c r="H57" s="191"/>
      <c r="I57" s="106"/>
      <c r="J57" s="10"/>
      <c r="K57" s="10"/>
      <c r="L57" s="10"/>
    </row>
    <row r="58" spans="1:12" ht="12.75">
      <c r="A58" s="104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4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85"/>
      <c r="H63" s="186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zoomScalePageLayoutView="0" workbookViewId="0" topLeftCell="A79">
      <selection activeCell="A30" sqref="A30:H30"/>
    </sheetView>
  </sheetViews>
  <sheetFormatPr defaultColWidth="9.140625" defaultRowHeight="12.75"/>
  <cols>
    <col min="1" max="10" width="9.140625" style="50" customWidth="1"/>
    <col min="11" max="11" width="9.8515625" style="50" customWidth="1"/>
    <col min="12" max="16384" width="9.140625" style="50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335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33.75">
      <c r="A4" s="231" t="s">
        <v>59</v>
      </c>
      <c r="B4" s="232"/>
      <c r="C4" s="232"/>
      <c r="D4" s="232"/>
      <c r="E4" s="232"/>
      <c r="F4" s="232"/>
      <c r="G4" s="232"/>
      <c r="H4" s="233"/>
      <c r="I4" s="56" t="s">
        <v>278</v>
      </c>
      <c r="J4" s="57" t="s">
        <v>318</v>
      </c>
      <c r="K4" s="58" t="s">
        <v>319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5">
        <v>2</v>
      </c>
      <c r="J5" s="54">
        <v>3</v>
      </c>
      <c r="K5" s="54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1">
        <f>J9+J16+J26+J35+J39</f>
        <v>54529797</v>
      </c>
      <c r="K8" s="51">
        <f>K9+K16+K26+K35+K39</f>
        <v>34788149.019999996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1">
        <f>SUM(J10:J15)</f>
        <v>77740</v>
      </c>
      <c r="K9" s="51">
        <f>SUM(K10:K15)</f>
        <v>5980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77740</v>
      </c>
      <c r="K10" s="7">
        <v>5980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1">
        <f>SUM(J17:J25)</f>
        <v>32219205</v>
      </c>
      <c r="K16" s="51">
        <f>SUM(K17:K25)</f>
        <v>29267894.02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7399269</v>
      </c>
      <c r="K17" s="7">
        <v>7399269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8822171</v>
      </c>
      <c r="K18" s="7">
        <f>7039720.47+385776.55</f>
        <v>7425497.02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15425765</v>
      </c>
      <c r="K19" s="7">
        <v>13871128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/>
      <c r="K20" s="7"/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572000</v>
      </c>
      <c r="K23" s="7">
        <v>572000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1">
        <f>SUM(J27:J34)</f>
        <v>22232852</v>
      </c>
      <c r="K26" s="51">
        <f>SUM(K27:K34)</f>
        <v>5514275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2320000</v>
      </c>
      <c r="K27" s="7">
        <v>2320000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19912852</v>
      </c>
      <c r="K29" s="7">
        <f>3494275-300000</f>
        <v>3194275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1">
        <f>J41+J49+J56+J64</f>
        <v>21577890</v>
      </c>
      <c r="K40" s="51">
        <f>K41+K49+K56+K64</f>
        <v>19964991.5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1">
        <f>SUM(J42:J48)</f>
        <v>9818799</v>
      </c>
      <c r="K41" s="51">
        <f>SUM(K42:K48)</f>
        <v>9818445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5499</v>
      </c>
      <c r="K42" s="7">
        <v>5145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9813300</v>
      </c>
      <c r="K47" s="7">
        <v>9813300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1">
        <f>SUM(J50:J55)</f>
        <v>3676536</v>
      </c>
      <c r="K49" s="51">
        <f>SUM(K50:K55)</f>
        <v>3535087.5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30000</v>
      </c>
      <c r="K50" s="7">
        <v>988003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136834</v>
      </c>
      <c r="K51" s="7">
        <f>1180306-21699-988003</f>
        <v>170604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1331467</v>
      </c>
      <c r="K52" s="7">
        <f>1166412.5+21699</f>
        <v>1188111.5</v>
      </c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15137</v>
      </c>
      <c r="K53" s="7">
        <v>840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227137</v>
      </c>
      <c r="K54" s="7">
        <f>17083+12791+31822</f>
        <v>61696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1935961</v>
      </c>
      <c r="K55" s="7">
        <v>1125833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1">
        <f>SUM(J57:J63)</f>
        <v>8051946</v>
      </c>
      <c r="K56" s="51">
        <f>SUM(K57:K63)</f>
        <v>6585545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3301946</v>
      </c>
      <c r="K60" s="7">
        <v>1835545</v>
      </c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4750000</v>
      </c>
      <c r="K62" s="7">
        <v>4750000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30609</v>
      </c>
      <c r="K64" s="7">
        <v>25914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/>
      <c r="K65" s="7">
        <v>10279.08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1">
        <f>J7+J8+J40+J65</f>
        <v>76107687</v>
      </c>
      <c r="K66" s="51">
        <f>K7+K8+K40+K65</f>
        <v>54763419.599999994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03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5"/>
      <c r="I69" s="3">
        <v>62</v>
      </c>
      <c r="J69" s="52">
        <f>J70+J71+J72+J78+J79+J82+J85</f>
        <v>62658031</v>
      </c>
      <c r="K69" s="52">
        <f>K70+K71+K72+K78+K79+K82+K85</f>
        <v>49873016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50315800</v>
      </c>
      <c r="K70" s="7">
        <v>50315800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1">
        <f>J73+J74-J75+J76+J77</f>
        <v>10173049</v>
      </c>
      <c r="K72" s="51">
        <f>K73+K74-K75+K76+K77</f>
        <v>10320943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2927674</v>
      </c>
      <c r="K73" s="7">
        <v>2927674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6040183</v>
      </c>
      <c r="K74" s="7">
        <v>6188077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2856819</v>
      </c>
      <c r="K75" s="7">
        <v>2856819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4062011</v>
      </c>
      <c r="K77" s="7">
        <v>4062011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25112</v>
      </c>
      <c r="K78" s="7">
        <v>31512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1">
        <f>J80-J81</f>
        <v>1996177</v>
      </c>
      <c r="K79" s="51">
        <f>K80-K81</f>
        <v>1996177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1996177</v>
      </c>
      <c r="K80" s="7">
        <v>1996177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1">
        <f>J83-J84</f>
        <v>147893</v>
      </c>
      <c r="K82" s="51">
        <f>K83-K84</f>
        <v>-12791416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147893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12791416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1">
        <f>SUM(J87:J89)</f>
        <v>6278</v>
      </c>
      <c r="K86" s="51">
        <f>SUM(K87:K89)</f>
        <v>87878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>
        <v>80000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>
        <v>6278</v>
      </c>
      <c r="K88" s="7">
        <v>7878</v>
      </c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1">
        <f>SUM(J91:J99)</f>
        <v>0</v>
      </c>
      <c r="K90" s="51">
        <f>SUM(K91:K99)</f>
        <v>0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1">
        <f>SUM(J101:J112)</f>
        <v>13329453</v>
      </c>
      <c r="K100" s="51">
        <f>SUM(K101:K112)</f>
        <v>4732700.7</v>
      </c>
    </row>
    <row r="101" spans="1:12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6319415</v>
      </c>
      <c r="K101" s="7">
        <f>2576654+52825</f>
        <v>2629479</v>
      </c>
      <c r="L101" s="50" t="s">
        <v>340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/>
      <c r="K103" s="7"/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409642</v>
      </c>
      <c r="K105" s="7">
        <f>3153575+22446-2576654-68933</f>
        <v>530434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>
        <v>6130055</v>
      </c>
      <c r="K107" s="7">
        <f>735863+68933</f>
        <v>804796</v>
      </c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94063</v>
      </c>
      <c r="K108" s="7">
        <f>262461-175097</f>
        <v>87364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314492</v>
      </c>
      <c r="K109" s="7">
        <f>469092.7+36438</f>
        <v>505530.7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61786</v>
      </c>
      <c r="K112" s="7">
        <v>175097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113925</v>
      </c>
      <c r="K113" s="7">
        <v>69825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1">
        <f>J69+J86+J90+J100+J113</f>
        <v>76107687</v>
      </c>
      <c r="K114" s="51">
        <f>K69+K86+K90+K100+K113</f>
        <v>54763419.7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193" t="s">
        <v>9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/>
      <c r="K119" s="8"/>
    </row>
    <row r="120" spans="1:11" ht="12.75">
      <c r="A120" s="196" t="s">
        <v>311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20" sqref="L2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8" t="s">
        <v>341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335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6" t="s">
        <v>279</v>
      </c>
      <c r="J4" s="252" t="s">
        <v>318</v>
      </c>
      <c r="K4" s="252"/>
      <c r="L4" s="252" t="s">
        <v>319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5"/>
      <c r="I7" s="3">
        <v>111</v>
      </c>
      <c r="J7" s="52">
        <f>SUM(J8:J9)</f>
        <v>5939995</v>
      </c>
      <c r="K7" s="52">
        <f>SUM(K8:K9)</f>
        <v>3665213</v>
      </c>
      <c r="L7" s="52">
        <f>SUM(L8:L9)</f>
        <v>5130325</v>
      </c>
      <c r="M7" s="52">
        <f>SUM(M8:M9)</f>
        <v>2724294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2616405</v>
      </c>
      <c r="K8" s="7">
        <v>663804</v>
      </c>
      <c r="L8" s="7">
        <v>2613667</v>
      </c>
      <c r="M8" s="7">
        <v>519062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3323590</v>
      </c>
      <c r="K9" s="7">
        <v>3001409</v>
      </c>
      <c r="L9" s="7">
        <f>2989192-472534</f>
        <v>2516658</v>
      </c>
      <c r="M9" s="7">
        <v>2205232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1">
        <f>J11+J12+J16+J20+J21+J22+J25+J26</f>
        <v>6006957</v>
      </c>
      <c r="K10" s="51">
        <f>K11+K12+K16+K20+K21+K22+K25+K26</f>
        <v>1493215</v>
      </c>
      <c r="L10" s="51">
        <f>L11+L12+L16+L20+L21+L22+L25+L26</f>
        <v>10572169</v>
      </c>
      <c r="M10" s="51">
        <f>M11+M12+M16+M20+M21+M22+M25+M26</f>
        <v>6258119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1">
        <f>SUM(J13:J15)</f>
        <v>2088550</v>
      </c>
      <c r="K12" s="51">
        <f>SUM(K13:K15)</f>
        <v>615095</v>
      </c>
      <c r="L12" s="51">
        <f>SUM(L13:L15)</f>
        <v>2494476</v>
      </c>
      <c r="M12" s="51">
        <f>SUM(M13:M15)</f>
        <v>624140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316978</v>
      </c>
      <c r="K13" s="7">
        <v>150721</v>
      </c>
      <c r="L13" s="7">
        <v>328596</v>
      </c>
      <c r="M13" s="7">
        <v>74838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>
        <v>120528</v>
      </c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1771572</v>
      </c>
      <c r="K15" s="7">
        <v>464374</v>
      </c>
      <c r="L15" s="7">
        <v>2045352</v>
      </c>
      <c r="M15" s="7">
        <v>549302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1">
        <f>SUM(J17:J19)</f>
        <v>1324303</v>
      </c>
      <c r="K16" s="51">
        <f>SUM(K17:K19)</f>
        <v>239638</v>
      </c>
      <c r="L16" s="51">
        <f>SUM(L17:L19)</f>
        <v>934406</v>
      </c>
      <c r="M16" s="51">
        <v>218756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831466</v>
      </c>
      <c r="K17" s="7">
        <v>158966</v>
      </c>
      <c r="L17" s="7">
        <f>650866-50964</f>
        <v>599902</v>
      </c>
      <c r="M17" s="7">
        <v>371100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312564</v>
      </c>
      <c r="K18" s="7">
        <v>50655</v>
      </c>
      <c r="L18" s="7">
        <f>162716+50964</f>
        <v>213680</v>
      </c>
      <c r="M18" s="7">
        <v>88942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180273</v>
      </c>
      <c r="K19" s="7">
        <v>30017</v>
      </c>
      <c r="L19" s="7">
        <v>120824</v>
      </c>
      <c r="M19" s="7">
        <v>-22530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1938610</v>
      </c>
      <c r="K20" s="7">
        <v>468299</v>
      </c>
      <c r="L20" s="7">
        <v>1765431</v>
      </c>
      <c r="M20" s="7">
        <v>421925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652916</v>
      </c>
      <c r="K21" s="7">
        <v>170090</v>
      </c>
      <c r="L21" s="7">
        <v>563222</v>
      </c>
      <c r="M21" s="7">
        <v>178664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>
        <v>80000</v>
      </c>
      <c r="M25" s="7">
        <v>80000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2578</v>
      </c>
      <c r="K26" s="7">
        <v>93</v>
      </c>
      <c r="L26" s="7">
        <f>1303166+928+3430540</f>
        <v>4734634</v>
      </c>
      <c r="M26" s="7">
        <v>4734634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1">
        <f>SUM(J28:J32)</f>
        <v>669482</v>
      </c>
      <c r="K27" s="51">
        <f>SUM(K28:K32)</f>
        <v>148021</v>
      </c>
      <c r="L27" s="51">
        <f>SUM(L28:L32)</f>
        <v>472534</v>
      </c>
      <c r="M27" s="51">
        <f>SUM(M28:M32)</f>
        <v>91902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/>
      <c r="K28" s="7"/>
      <c r="L28" s="7"/>
      <c r="M28" s="7"/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669482</v>
      </c>
      <c r="K29" s="7">
        <v>148021</v>
      </c>
      <c r="L29" s="7">
        <v>472534</v>
      </c>
      <c r="M29" s="7">
        <v>91902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1">
        <f>SUM(J34:J37)</f>
        <v>339267</v>
      </c>
      <c r="K33" s="51">
        <f>SUM(K34:K37)</f>
        <v>173180</v>
      </c>
      <c r="L33" s="51">
        <f>SUM(L34:L37)</f>
        <v>7822106</v>
      </c>
      <c r="M33" s="51">
        <f>SUM(M34:M37)</f>
        <v>7542618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/>
      <c r="K34" s="7"/>
      <c r="L34" s="7"/>
      <c r="M34" s="7"/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339267</v>
      </c>
      <c r="K35" s="7">
        <v>173180</v>
      </c>
      <c r="L35" s="7">
        <v>334302</v>
      </c>
      <c r="M35" s="7">
        <v>54814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>
        <v>7487804</v>
      </c>
      <c r="M36" s="7">
        <v>7487804</v>
      </c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1">
        <f>J7+J27+J38+J40</f>
        <v>6609477</v>
      </c>
      <c r="K42" s="51">
        <f>K7+K27+K38+K40</f>
        <v>3813234</v>
      </c>
      <c r="L42" s="51">
        <f>L7+L27+L38+L40</f>
        <v>5602859</v>
      </c>
      <c r="M42" s="51">
        <f>M7+M27+M38+M40</f>
        <v>2816196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1">
        <f>J10+J33+J39+J41</f>
        <v>6346224</v>
      </c>
      <c r="K43" s="51">
        <f>K10+K33+K39+K41</f>
        <v>1666395</v>
      </c>
      <c r="L43" s="51">
        <f>L10+L33+L39+L41</f>
        <v>18394275</v>
      </c>
      <c r="M43" s="51">
        <f>M10+M33+M39+M41</f>
        <v>13800737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1">
        <f>J42-J43</f>
        <v>263253</v>
      </c>
      <c r="K44" s="51">
        <f>K42-K43</f>
        <v>2146839</v>
      </c>
      <c r="L44" s="51">
        <f>L42-L43</f>
        <v>-12791416</v>
      </c>
      <c r="M44" s="51">
        <f>M42-M43</f>
        <v>-10984541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1">
        <f>IF(J42&gt;J43,J42-J43,0)</f>
        <v>263253</v>
      </c>
      <c r="K45" s="51">
        <f>IF(K42&gt;K43,K42-K43,0)</f>
        <v>2146839</v>
      </c>
      <c r="L45" s="51">
        <f>IF(L42&gt;L43,L42-L43,0)</f>
        <v>0</v>
      </c>
      <c r="M45" s="51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12791416</v>
      </c>
      <c r="M46" s="51">
        <f>IF(M43&gt;M42,M43-M42,0)</f>
        <v>10984541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/>
      <c r="K47" s="7"/>
      <c r="L47" s="7"/>
      <c r="M47" s="7"/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1">
        <f>J44-J47</f>
        <v>263253</v>
      </c>
      <c r="K48" s="51">
        <f>K44-K47</f>
        <v>2146839</v>
      </c>
      <c r="L48" s="51">
        <f>L44-L47</f>
        <v>-12791416</v>
      </c>
      <c r="M48" s="51">
        <f>M44-M47</f>
        <v>-10984541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1">
        <f>IF(J48&gt;0,J48,0)</f>
        <v>263253</v>
      </c>
      <c r="K49" s="51">
        <f>IF(K48&gt;0,K48,0)</f>
        <v>2146839</v>
      </c>
      <c r="L49" s="51">
        <f>IF(L48&gt;0,L48,0)</f>
        <v>0</v>
      </c>
      <c r="M49" s="51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12791416</v>
      </c>
      <c r="M50" s="59">
        <f>IF(M48&lt;0,-M48,0)</f>
        <v>10984541</v>
      </c>
    </row>
    <row r="51" spans="1:13" ht="12.7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3"/>
      <c r="J52" s="53"/>
      <c r="K52" s="53"/>
      <c r="L52" s="53"/>
      <c r="M52" s="60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/>
      <c r="K56" s="6"/>
      <c r="L56" s="6">
        <v>-12791416</v>
      </c>
      <c r="M56" s="6"/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2230</v>
      </c>
      <c r="M57" s="51">
        <f>SUM(M58:M64)</f>
        <v>0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>
        <v>2230</v>
      </c>
      <c r="M60" s="7"/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>
        <v>446</v>
      </c>
      <c r="M65" s="7"/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1">
        <f>J57-J65</f>
        <v>0</v>
      </c>
      <c r="K66" s="51">
        <f>K57-K65</f>
        <v>0</v>
      </c>
      <c r="L66" s="51">
        <f>L57-L65</f>
        <v>1784</v>
      </c>
      <c r="M66" s="51">
        <f>M57-M65</f>
        <v>0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9">
        <f>J56+J66</f>
        <v>0</v>
      </c>
      <c r="K67" s="59">
        <f>K56+K66</f>
        <v>0</v>
      </c>
      <c r="L67" s="59">
        <f>L56+L66</f>
        <v>-12789632</v>
      </c>
      <c r="M67" s="59">
        <f>M56+M66</f>
        <v>0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53" sqref="J53"/>
    </sheetView>
  </sheetViews>
  <sheetFormatPr defaultColWidth="9.140625" defaultRowHeight="12.75"/>
  <cols>
    <col min="1" max="7" width="9.140625" style="50" customWidth="1"/>
    <col min="8" max="8" width="4.28125" style="50" customWidth="1"/>
    <col min="9" max="10" width="9.140625" style="50" customWidth="1"/>
    <col min="11" max="11" width="10.00390625" style="50" customWidth="1"/>
    <col min="12" max="16384" width="9.140625" style="50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335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4" t="s">
        <v>279</v>
      </c>
      <c r="J4" s="65" t="s">
        <v>318</v>
      </c>
      <c r="K4" s="65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6">
        <v>2</v>
      </c>
      <c r="J5" s="67" t="s">
        <v>283</v>
      </c>
      <c r="K5" s="67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5"/>
      <c r="J6" s="255"/>
      <c r="K6" s="256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204105</v>
      </c>
      <c r="K7" s="51">
        <v>-12791416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1938610</v>
      </c>
      <c r="K8" s="7">
        <v>1765431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>
        <f>120792+191039+113311+81600</f>
        <v>506742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3471035</v>
      </c>
      <c r="K10" s="7">
        <f>143356+1466401+16718578+14297+1630</f>
        <v>18344262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1215</v>
      </c>
      <c r="K11" s="7">
        <v>354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>
        <f>165441+810128+1257641+10279</f>
        <v>2243489</v>
      </c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51">
        <f>SUM(J7:J12)</f>
        <v>5614965</v>
      </c>
      <c r="K13" s="51">
        <f>SUM(K7:K12)</f>
        <v>10068862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2462912</v>
      </c>
      <c r="K14" s="7">
        <f>3689936+6699</f>
        <v>3696635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>
        <f>958003+33770</f>
        <v>991773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4084589</v>
      </c>
      <c r="K17" s="7">
        <f>5325259+44100+6400</f>
        <v>5375759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2">
        <f>SUM(J14:J17)</f>
        <v>6547501</v>
      </c>
      <c r="K18" s="51">
        <f>SUM(K14:K17)</f>
        <v>10064167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2">
        <f>IF(J13&gt;J18,J13-J18,0)</f>
        <v>0</v>
      </c>
      <c r="K19" s="51">
        <f>IF(K13&gt;K18,K13-K18,0)</f>
        <v>4695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2">
        <f>IF(J18&gt;J13,J18-J13,0)</f>
        <v>932536</v>
      </c>
      <c r="K20" s="51">
        <f>IF(K18&gt;K13,K18-K13,0)</f>
        <v>0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55"/>
      <c r="J21" s="255"/>
      <c r="K21" s="256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315000</v>
      </c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669277</v>
      </c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2">
        <f>SUM(J22:J26)</f>
        <v>984277</v>
      </c>
      <c r="K27" s="51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6536</v>
      </c>
      <c r="K28" s="7"/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2">
        <f>SUM(J28:J30)</f>
        <v>6536</v>
      </c>
      <c r="K31" s="62">
        <f>SUM(K28:K30)</f>
        <v>0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2">
        <f>IF(J27&gt;J31,J27-J31,0)</f>
        <v>977741</v>
      </c>
      <c r="K32" s="51">
        <f>IF(K27&gt;K31,K27-K31,0)</f>
        <v>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2">
        <f>IF(J31&gt;J27,J31-J27,0)</f>
        <v>0</v>
      </c>
      <c r="K33" s="51">
        <f>IF(K31&gt;K27,K31-K27,0)</f>
        <v>0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55"/>
      <c r="J34" s="255"/>
      <c r="K34" s="256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323674</v>
      </c>
      <c r="K37" s="7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2"/>
      <c r="K38" s="51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>
        <v>40098</v>
      </c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2">
        <f>SUM(J39:J43)</f>
        <v>40098</v>
      </c>
      <c r="K44" s="51">
        <f>SUM(K39:K43)</f>
        <v>0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2">
        <f>IF(J38&gt;J44,J38-J44,0)</f>
        <v>0</v>
      </c>
      <c r="K45" s="51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2">
        <f>IF(J44&gt;J38,J44-J38,0)</f>
        <v>40098</v>
      </c>
      <c r="K46" s="51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2">
        <f>IF(J19-J20+J32-J33+J45-J46&gt;0,J19-J20+J32-J33+J45-J46,0)</f>
        <v>5107</v>
      </c>
      <c r="K47" s="51">
        <f>IF(K19-K20+K32-K33+K45-K46&gt;0,K19-K20+K32-K33+K45-K46,0)</f>
        <v>4695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2">
        <f>IF(J20-J19+J33-J32+J46-J45&gt;0,J20-J19+J33-J32+J46-J45,0)</f>
        <v>0</v>
      </c>
      <c r="K48" s="62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25502</v>
      </c>
      <c r="K49" s="7">
        <v>30609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5107</v>
      </c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>
        <v>4695</v>
      </c>
    </row>
    <row r="52" spans="1:11" ht="12.75">
      <c r="A52" s="193" t="s">
        <v>177</v>
      </c>
      <c r="B52" s="194"/>
      <c r="C52" s="194"/>
      <c r="D52" s="194"/>
      <c r="E52" s="194"/>
      <c r="F52" s="194"/>
      <c r="G52" s="194"/>
      <c r="H52" s="194"/>
      <c r="I52" s="4">
        <v>44</v>
      </c>
      <c r="J52" s="63">
        <v>30609</v>
      </c>
      <c r="K52" s="59">
        <v>25914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4" t="s">
        <v>279</v>
      </c>
      <c r="J4" s="65" t="s">
        <v>318</v>
      </c>
      <c r="K4" s="65" t="s">
        <v>319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0">
        <v>2</v>
      </c>
      <c r="J5" s="71" t="s">
        <v>283</v>
      </c>
      <c r="K5" s="71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5"/>
      <c r="J6" s="255"/>
      <c r="K6" s="256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4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0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55"/>
      <c r="J22" s="255"/>
      <c r="K22" s="256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55">
        <v>0</v>
      </c>
      <c r="J35" s="255"/>
      <c r="K35" s="256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1" width="14.8515625" style="73" customWidth="1"/>
    <col min="2" max="2" width="2.00390625" style="73" customWidth="1"/>
    <col min="3" max="3" width="9.140625" style="73" customWidth="1"/>
    <col min="4" max="4" width="7.28125" style="73" customWidth="1"/>
    <col min="5" max="5" width="8.28125" style="73" customWidth="1"/>
    <col min="6" max="6" width="5.421875" style="73" customWidth="1"/>
    <col min="7" max="7" width="9.140625" style="73" customWidth="1"/>
    <col min="8" max="8" width="3.57421875" style="73" customWidth="1"/>
    <col min="9" max="16384" width="9.140625" style="73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2"/>
    </row>
    <row r="2" spans="1:12" ht="12.75">
      <c r="A2" s="124" t="s">
        <v>325</v>
      </c>
      <c r="B2" s="125"/>
      <c r="C2" s="273" t="s">
        <v>282</v>
      </c>
      <c r="D2" s="273"/>
      <c r="E2" s="127" t="s">
        <v>322</v>
      </c>
      <c r="F2" s="126" t="s">
        <v>250</v>
      </c>
      <c r="G2" s="274" t="s">
        <v>343</v>
      </c>
      <c r="H2" s="275"/>
      <c r="I2" s="125"/>
      <c r="J2" s="125"/>
      <c r="K2" s="125"/>
      <c r="L2" s="74"/>
    </row>
    <row r="3" spans="1:11" ht="23.25">
      <c r="A3" s="276" t="s">
        <v>59</v>
      </c>
      <c r="B3" s="276"/>
      <c r="C3" s="276"/>
      <c r="D3" s="276"/>
      <c r="E3" s="276"/>
      <c r="F3" s="276"/>
      <c r="G3" s="276"/>
      <c r="H3" s="276"/>
      <c r="I3" s="77" t="s">
        <v>305</v>
      </c>
      <c r="J3" s="78" t="s">
        <v>150</v>
      </c>
      <c r="K3" s="78" t="s">
        <v>151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0">
        <v>2</v>
      </c>
      <c r="J4" s="79" t="s">
        <v>283</v>
      </c>
      <c r="K4" s="79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2">
        <v>1</v>
      </c>
      <c r="J5" s="43">
        <v>50315800</v>
      </c>
      <c r="K5" s="43">
        <v>50315800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2">
        <v>2</v>
      </c>
      <c r="J6" s="44"/>
      <c r="K6" s="44"/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2">
        <v>3</v>
      </c>
      <c r="J7" s="44">
        <v>10173049</v>
      </c>
      <c r="K7" s="44">
        <v>10320943</v>
      </c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2">
        <v>4</v>
      </c>
      <c r="J8" s="44">
        <v>1996177</v>
      </c>
      <c r="K8" s="44">
        <v>1996177</v>
      </c>
    </row>
    <row r="9" spans="1:11" ht="12.75">
      <c r="A9" s="271" t="s">
        <v>289</v>
      </c>
      <c r="B9" s="272"/>
      <c r="C9" s="272"/>
      <c r="D9" s="272"/>
      <c r="E9" s="272"/>
      <c r="F9" s="272"/>
      <c r="G9" s="272"/>
      <c r="H9" s="272"/>
      <c r="I9" s="42">
        <v>5</v>
      </c>
      <c r="J9" s="44">
        <v>147893</v>
      </c>
      <c r="K9" s="44">
        <v>-12791416</v>
      </c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2">
        <v>6</v>
      </c>
      <c r="J10" s="44"/>
      <c r="K10" s="44"/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2">
        <v>7</v>
      </c>
      <c r="J11" s="44"/>
      <c r="K11" s="44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2">
        <v>8</v>
      </c>
      <c r="J12" s="44">
        <v>25112</v>
      </c>
      <c r="K12" s="44">
        <v>31512</v>
      </c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2">
        <v>9</v>
      </c>
      <c r="J13" s="44"/>
      <c r="K13" s="44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2">
        <v>10</v>
      </c>
      <c r="J14" s="75">
        <f>SUM(J5:J13)</f>
        <v>62658031</v>
      </c>
      <c r="K14" s="75">
        <f>SUM(K5:K13)</f>
        <v>49873016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2">
        <v>11</v>
      </c>
      <c r="J15" s="44"/>
      <c r="K15" s="44"/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2">
        <v>12</v>
      </c>
      <c r="J16" s="44"/>
      <c r="K16" s="44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2">
        <v>13</v>
      </c>
      <c r="J17" s="44"/>
      <c r="K17" s="44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2">
        <v>14</v>
      </c>
      <c r="J18" s="44"/>
      <c r="K18" s="44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2">
        <v>15</v>
      </c>
      <c r="J19" s="44"/>
      <c r="K19" s="44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2">
        <v>16</v>
      </c>
      <c r="J20" s="44"/>
      <c r="K20" s="44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2">
        <v>17</v>
      </c>
      <c r="J21" s="76">
        <v>31517</v>
      </c>
      <c r="K21" s="76">
        <v>12785015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5">
        <v>18</v>
      </c>
      <c r="J23" s="43"/>
      <c r="K23" s="43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6">
        <v>19</v>
      </c>
      <c r="J24" s="76"/>
      <c r="K24" s="76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0" zoomScaleSheetLayoutView="110" zoomScalePageLayoutView="0" workbookViewId="0" topLeftCell="A1">
      <selection activeCell="B9" sqref="B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8" customHeight="1">
      <c r="A4" s="129" t="s">
        <v>347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8" customHeight="1">
      <c r="A5" s="129" t="s">
        <v>346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8" customHeight="1">
      <c r="A6" s="129" t="s">
        <v>348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8" customHeight="1">
      <c r="A7" s="129" t="s">
        <v>345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2.7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130" t="s">
        <v>344</v>
      </c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2.7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5">
      <c r="A27" s="40"/>
      <c r="B27" s="40"/>
      <c r="C27" s="40"/>
      <c r="D27" s="40"/>
      <c r="E27" s="40"/>
      <c r="F27" s="40"/>
      <c r="G27" s="40"/>
      <c r="H27" s="40"/>
      <c r="I27" s="41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2.75">
      <c r="A29" s="40"/>
      <c r="B29" s="40"/>
      <c r="C29" s="40"/>
      <c r="D29" s="40"/>
      <c r="E29" s="40"/>
      <c r="F29" s="40"/>
      <c r="G29" s="40"/>
      <c r="H29" s="40"/>
      <c r="I29" s="40"/>
      <c r="J29" s="40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2014-02-14T11:37:02Z</cp:lastPrinted>
  <dcterms:created xsi:type="dcterms:W3CDTF">2008-10-17T11:51:54Z</dcterms:created>
  <dcterms:modified xsi:type="dcterms:W3CDTF">2014-02-14T13:23:07Z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