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19\Objave rezultata\Q4 2019\"/>
    </mc:Choice>
  </mc:AlternateContent>
  <xr:revisionPtr revIDLastSave="0" documentId="13_ncr:1_{930FAD1E-FC72-4D64-BAB3-A77850A663DF}" xr6:coauthVersionLast="36" xr6:coauthVersionMax="36" xr10:uidLastSave="{00000000-0000-0000-0000-000000000000}"/>
  <bookViews>
    <workbookView xWindow="0" yWindow="0" windowWidth="23040" windowHeight="10455" tabRatio="828"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5" i="22" l="1"/>
  <c r="S27" i="22" l="1"/>
  <c r="T27" i="22"/>
  <c r="S55" i="22"/>
  <c r="I54" i="22"/>
  <c r="H8" i="20" l="1"/>
  <c r="T11" i="22" l="1"/>
  <c r="Q15" i="22"/>
  <c r="V11" i="22"/>
  <c r="L24" i="22"/>
  <c r="T55" i="22" l="1"/>
  <c r="N40" i="22"/>
  <c r="L52" i="22"/>
  <c r="T39" i="22"/>
  <c r="V39" i="22"/>
  <c r="S53" i="22"/>
  <c r="Q43" i="22"/>
  <c r="V35" i="22"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42" i="20"/>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5" i="22"/>
  <c r="W45" i="22" s="1"/>
  <c r="U44" i="22"/>
  <c r="W44" i="22" s="1"/>
  <c r="U43" i="22"/>
  <c r="W43" i="22" s="1"/>
  <c r="U42" i="22"/>
  <c r="W42" i="22" s="1"/>
  <c r="U41" i="22"/>
  <c r="W41" i="22" s="1"/>
  <c r="U40" i="22"/>
  <c r="W40" i="22" s="1"/>
  <c r="U39" i="22"/>
  <c r="W39" i="22" s="1"/>
  <c r="V38" i="22"/>
  <c r="V57" i="22" s="1"/>
  <c r="T38" i="22"/>
  <c r="T57" i="22" s="1"/>
  <c r="S38" i="22"/>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J60" i="19"/>
  <c r="I34" i="21"/>
  <c r="H57" i="20"/>
  <c r="H59" i="20" s="1"/>
  <c r="K60" i="19"/>
  <c r="K14" i="19"/>
  <c r="K61" i="19" s="1"/>
  <c r="I75" i="18"/>
  <c r="I131" i="18" s="1"/>
  <c r="I47" i="21"/>
  <c r="I49" i="21" s="1"/>
  <c r="I51" i="21" s="1"/>
  <c r="W61" i="22"/>
  <c r="I44" i="18"/>
  <c r="H61" i="19"/>
  <c r="I14" i="19"/>
  <c r="I61" i="19" s="1"/>
  <c r="H72" i="18"/>
  <c r="H60" i="19"/>
  <c r="J14" i="19"/>
  <c r="J61" i="19" s="1"/>
  <c r="U61" i="22"/>
  <c r="I9" i="18"/>
  <c r="I42" i="20"/>
  <c r="W31" i="22"/>
  <c r="W32" i="22" s="1"/>
  <c r="U31" i="22"/>
  <c r="U32" i="22" s="1"/>
  <c r="W33" i="22"/>
  <c r="U33" i="22"/>
  <c r="W38" i="22"/>
  <c r="U38" i="22"/>
  <c r="W10" i="22"/>
  <c r="W29" i="22" s="1"/>
  <c r="U10" i="22"/>
  <c r="U29" i="22" s="1"/>
  <c r="K64" i="19" l="1"/>
  <c r="J63" i="19"/>
  <c r="K62" i="19"/>
  <c r="K67" i="19" s="1"/>
  <c r="K63" i="19"/>
  <c r="H64" i="19"/>
  <c r="I72" i="18"/>
  <c r="I63" i="19"/>
  <c r="I64" i="19"/>
  <c r="I62" i="19"/>
  <c r="H62" i="19"/>
  <c r="H68" i="19" s="1"/>
  <c r="H63" i="19"/>
  <c r="J62" i="19"/>
  <c r="J64" i="19"/>
  <c r="J66" i="19" l="1"/>
  <c r="I8" i="20"/>
  <c r="I18" i="20" s="1"/>
  <c r="I24" i="20" s="1"/>
  <c r="I27" i="20" s="1"/>
  <c r="I57" i="20" s="1"/>
  <c r="I59" i="20" s="1"/>
  <c r="H66" i="19"/>
  <c r="H89" i="19" s="1"/>
  <c r="H101" i="19" s="1"/>
  <c r="K68" i="19"/>
  <c r="K66" i="19"/>
  <c r="K89" i="19" s="1"/>
  <c r="K101" i="19" s="1"/>
  <c r="H67" i="19"/>
  <c r="I66" i="19"/>
  <c r="I101" i="19" s="1"/>
  <c r="I68" i="19"/>
  <c r="I67" i="19"/>
  <c r="J67" i="19"/>
  <c r="J68" i="19"/>
  <c r="S57" i="22"/>
  <c r="U46" i="22"/>
  <c r="U59" i="22" s="1"/>
  <c r="U60" i="22" s="1"/>
  <c r="S59" i="22"/>
  <c r="S60" i="22" s="1"/>
  <c r="J89" i="19" l="1"/>
  <c r="J101" i="19" s="1"/>
  <c r="U57" i="22"/>
  <c r="W46" i="22"/>
  <c r="W57" i="22" s="1"/>
  <c r="W59" i="22"/>
  <c r="W60" i="22" s="1"/>
</calcChain>
</file>

<file path=xl/sharedStrings.xml><?xml version="1.0" encoding="utf-8"?>
<sst xmlns="http://schemas.openxmlformats.org/spreadsheetml/2006/main" count="534" uniqueCount="463">
  <si>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</si>
  <si>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</si>
  <si>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</si>
  <si>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</si>
  <si>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</si>
  <si>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</si>
  <si>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</si>
  <si>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</si>
  <si>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</si>
  <si>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</si>
  <si>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</si>
  <si>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</si>
  <si>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</si>
  <si>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</si>
  <si>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</si>
  <si>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</si>
  <si>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</si>
  <si>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</si>
  <si>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</si>
  <si>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</si>
  <si>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</si>
  <si>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</si>
  <si>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</si>
  <si>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</si>
  <si>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</si>
  <si>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</si>
  <si>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</si>
  <si>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</si>
  <si>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</si>
  <si>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</si>
  <si>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</si>
  <si>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</si>
  <si>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</si>
  <si>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</si>
  <si>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</si>
  <si>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</si>
  <si>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</si>
  <si>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</si>
  <si>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</si>
  <si>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</si>
  <si>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</si>
  <si>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</si>
  <si>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</si>
  <si>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</si>
  <si>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</si>
  <si>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</si>
  <si>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</si>
  <si>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</si>
  <si>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</si>
  <si>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</si>
  <si>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</si>
  <si>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</si>
  <si>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</si>
  <si>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</si>
  <si>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</si>
  <si>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</si>
  <si>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</si>
  <si>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</si>
  <si>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</si>
  <si>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</si>
  <si>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</si>
  <si>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</si>
  <si>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</si>
  <si>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</si>
  <si>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</si>
  <si>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</si>
  <si>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</si>
  <si>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</si>
  <si>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</si>
  <si>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</si>
  <si>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</si>
  <si>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</si>
  <si>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</si>
  <si>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</si>
  <si>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</si>
  <si>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</si>
  <si>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</si>
  <si>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</si>
  <si>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</si>
  <si>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</si>
  <si>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</si>
  <si>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</si>
  <si>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</si>
  <si>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</si>
  <si>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</si>
  <si>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</si>
  <si>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</si>
  <si>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</si>
  <si>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</si>
  <si>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</si>
  <si>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</si>
  <si>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</si>
  <si>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</si>
  <si>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</si>
  <si>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</si>
  <si>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</si>
  <si>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</si>
  <si>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</si>
  <si>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</si>
  <si>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</si>
  <si>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</si>
  <si>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</si>
  <si>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</si>
  <si>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</si>
  <si>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</si>
  <si>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</si>
  <si>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</si>
  <si>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</si>
  <si>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</si>
  <si>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</si>
  <si>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</si>
  <si>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</si>
  <si>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</si>
  <si>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</si>
  <si>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</si>
  <si>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</si>
  <si>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</si>
  <si>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</si>
  <si>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</si>
  <si>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</si>
  <si>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</si>
  <si>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</si>
  <si>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</si>
  <si>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</si>
  <si>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</si>
  <si>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</si>
  <si>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</si>
  <si>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</si>
  <si>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</si>
  <si>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</si>
  <si>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</si>
  <si>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</si>
  <si>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</si>
  <si>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</si>
  <si>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</si>
  <si>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</si>
  <si>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</si>
  <si>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</si>
  <si>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</si>
  <si>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</si>
  <si>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</si>
  <si>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</si>
  <si>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</si>
  <si>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</si>
  <si>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</si>
  <si>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</si>
  <si>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</si>
  <si>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</si>
  <si>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</si>
  <si>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</si>
  <si>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</si>
  <si>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</si>
  <si>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</si>
  <si>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</si>
  <si>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</si>
  <si>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</si>
  <si>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</si>
  <si>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</si>
  <si>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</si>
  <si>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</si>
  <si>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</si>
  <si>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</si>
  <si>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</si>
  <si>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</si>
  <si>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</si>
  <si>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</si>
  <si>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</si>
  <si>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</si>
  <si>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</si>
  <si>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</si>
  <si>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</si>
  <si>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</si>
  <si>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</si>
  <si>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</si>
  <si>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</si>
  <si>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</si>
  <si>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</si>
  <si>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</si>
  <si>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</si>
  <si>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</si>
  <si>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</si>
  <si>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</si>
  <si>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</si>
  <si>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</si>
  <si>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</si>
  <si>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</si>
  <si>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</si>
  <si>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</si>
  <si>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</si>
  <si>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</si>
  <si>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</si>
  <si>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</si>
  <si>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</si>
  <si>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</si>
  <si>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</si>
  <si>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</si>
  <si>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</si>
  <si>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</si>
  <si>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</si>
  <si>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</si>
  <si>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</si>
  <si>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</si>
  <si>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</si>
  <si>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</si>
  <si>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</si>
  <si>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</si>
  <si>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</si>
  <si>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</si>
  <si>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</si>
  <si>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</si>
  <si>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</si>
  <si>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</si>
  <si>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</si>
  <si>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</si>
  <si>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</si>
  <si>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</si>
  <si>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</si>
  <si>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</si>
  <si>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</si>
  <si>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</si>
  <si>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</si>
  <si>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</si>
  <si>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</si>
  <si>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</si>
  <si>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</si>
  <si>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</si>
  <si>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</si>
  <si>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</si>
  <si>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</si>
  <si>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</si>
  <si>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</si>
  <si>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</si>
  <si>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</si>
  <si>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</si>
  <si>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</si>
  <si>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</si>
  <si>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</si>
  <si>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</si>
  <si>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</si>
  <si>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</si>
  <si>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</si>
  <si>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</si>
  <si>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</si>
  <si>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</si>
  <si>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</si>
  <si>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</si>
  <si>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</si>
  <si>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</si>
  <si>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</si>
  <si>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</si>
  <si>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</si>
  <si>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</si>
  <si>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</si>
  <si>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</si>
  <si>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</si>
  <si>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</si>
  <si>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</si>
  <si>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</si>
  <si>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</si>
  <si>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</si>
  <si>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</si>
  <si>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</si>
  <si>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</si>
  <si>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</si>
  <si>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</si>
  <si>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</si>
  <si>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</si>
  <si>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</si>
  <si>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</si>
  <si>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</si>
  <si>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</si>
  <si>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</si>
  <si>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</si>
  <si>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</si>
  <si>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</si>
  <si>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</si>
  <si>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</si>
  <si>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</si>
  <si>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</si>
  <si>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</si>
  <si>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</si>
  <si>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</si>
  <si>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</si>
  <si>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</si>
  <si>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</si>
  <si>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</si>
  <si>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</si>
  <si>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</si>
  <si>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</si>
  <si>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</si>
  <si>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</si>
  <si>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</si>
  <si>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</si>
  <si>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</si>
  <si>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</si>
  <si>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</si>
  <si>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</si>
  <si>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</si>
  <si>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</si>
  <si>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</si>
  <si>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</si>
  <si>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</si>
  <si>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</si>
  <si>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</si>
  <si>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</si>
  <si>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</si>
  <si>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</si>
  <si>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</si>
  <si>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</si>
  <si>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</si>
  <si>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</si>
  <si>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</si>
  <si>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</si>
  <si>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</si>
  <si>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</si>
  <si>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</si>
  <si>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</si>
  <si>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</si>
  <si>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</si>
  <si>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</si>
  <si>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</si>
  <si>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</si>
  <si>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</si>
  <si>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</si>
  <si>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</si>
  <si>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</si>
  <si>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</si>
  <si>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</si>
  <si>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</si>
  <si>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</si>
  <si>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</si>
  <si>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</si>
  <si>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</si>
  <si>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</si>
  <si>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</si>
  <si>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</si>
  <si>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</si>
  <si>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</si>
  <si>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</si>
  <si>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</si>
  <si>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</si>
  <si>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</si>
  <si>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</si>
  <si>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</si>
  <si>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</si>
  <si>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</si>
  <si>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</si>
  <si>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</si>
  <si>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</si>
  <si>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</si>
  <si>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</si>
  <si>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</si>
  <si>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</si>
  <si>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</si>
  <si>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</si>
  <si>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</si>
  <si>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</si>
  <si>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</si>
  <si>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</si>
  <si>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</si>
  <si>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</si>
  <si>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</si>
  <si>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</si>
  <si>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</si>
  <si>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</si>
  <si>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</si>
  <si>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</si>
  <si>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</si>
  <si>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</si>
  <si>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</si>
  <si>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</si>
  <si>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</si>
  <si>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</si>
  <si>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</si>
  <si>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</si>
  <si>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</si>
  <si>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</si>
  <si>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</si>
  <si>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</si>
  <si>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</si>
  <si>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</si>
  <si>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</si>
  <si>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</si>
  <si>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</si>
  <si>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</si>
  <si>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</si>
  <si>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</si>
  <si>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</si>
  <si>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</si>
  <si>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</si>
  <si>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</si>
  <si>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</si>
  <si>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</si>
  <si>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</si>
  <si>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</si>
  <si>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</si>
  <si>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</si>
  <si>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</si>
  <si>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</si>
  <si>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</si>
  <si>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</si>
  <si>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</si>
  <si>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</si>
  <si>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</si>
  <si>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</si>
  <si>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</si>
  <si>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</si>
  <si>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</si>
  <si>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</si>
  <si>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</si>
  <si>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</si>
  <si>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</si>
  <si>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</si>
  <si>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</si>
  <si>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</si>
  <si>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</si>
  <si>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</si>
  <si>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</si>
  <si>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</si>
  <si>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</si>
  <si>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</si>
  <si>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</si>
  <si>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</si>
  <si>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</si>
  <si>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</si>
  <si>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</si>
  <si>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</si>
  <si>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</si>
  <si>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</si>
  <si>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</si>
  <si>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</si>
  <si>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</si>
  <si>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Atlantic Grupa d.d.</t>
  </si>
  <si>
    <t>1.1.2019.</t>
  </si>
  <si>
    <t>01671910</t>
  </si>
  <si>
    <t>HR</t>
  </si>
  <si>
    <t>080245039</t>
  </si>
  <si>
    <t>71149912416</t>
  </si>
  <si>
    <t>2588</t>
  </si>
  <si>
    <t>3157002G3ENYCZEB1A25</t>
  </si>
  <si>
    <t>Atlantic Grupa d.d.</t>
  </si>
  <si>
    <t>Zagreb</t>
  </si>
  <si>
    <t>Miramarska 23</t>
  </si>
  <si>
    <t>grupa@atlanticgrupa.com</t>
  </si>
  <si>
    <t>www.atlantic.hr</t>
  </si>
  <si>
    <t>03785793</t>
  </si>
  <si>
    <t>07026447</t>
  </si>
  <si>
    <t>Ljubljana</t>
  </si>
  <si>
    <t>Beograd</t>
  </si>
  <si>
    <t>Atlantic Trade d.o.o.</t>
  </si>
  <si>
    <t>Ilinčić Tatjana</t>
  </si>
  <si>
    <t>012413927</t>
  </si>
  <si>
    <t>tatjana.ilincic@atlanticgrupa.com</t>
  </si>
  <si>
    <t>u razdoblju 1.1.2019. do 31.12.2019.</t>
  </si>
  <si>
    <t>u razdoblju 01.01.2019 do 31.12.2019</t>
  </si>
  <si>
    <t xml:space="preserve">stanje na dan 31.12.2019. </t>
  </si>
  <si>
    <t>31.12.2019.</t>
  </si>
  <si>
    <t>Atlantic Grand d.o.o.</t>
  </si>
  <si>
    <t>Atlantic Štark d.o.o.</t>
  </si>
  <si>
    <t>Atlantic Cedevita d.o.o.</t>
  </si>
  <si>
    <t>5411</t>
  </si>
  <si>
    <t>Atlantic Droga Kolinska d.o.o.</t>
  </si>
  <si>
    <r>
      <t xml:space="preserve">BILJEŠKE UZ FINANCIJSKE IZVJEŠTAJE - TFI
(sastavljaju se za tromjesečna izvještajna razdoblja)
Naziv izdavatelja:   Atlantic Grupa d.d.
OIB:   71149912416
Izvještajno razdoblje: 01.01.2019. - 31.12.2019.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r>
      <rPr>
        <u/>
        <sz val="10"/>
        <rFont val="Arial"/>
        <family val="2"/>
      </rPr>
      <t>Napomene u svezi razlika između TFI-POD obrasca i kvartalnih izvještaja:</t>
    </r>
    <r>
      <rPr>
        <sz val="10"/>
        <rFont val="Arial"/>
        <family val="2"/>
        <charset val="238"/>
      </rPr>
      <t xml:space="preserve">
Pozicija </t>
    </r>
    <r>
      <rPr>
        <i/>
        <sz val="10"/>
        <rFont val="Arial"/>
        <family val="2"/>
      </rPr>
      <t>Troškovi marketinga i unapređenja prodaje</t>
    </r>
    <r>
      <rPr>
        <sz val="10"/>
        <rFont val="Arial"/>
        <family val="2"/>
        <charset val="238"/>
      </rPr>
      <t xml:space="preserve"> iz konsolidiranog računa dobiti i gubitka objavljenog u kvartalnom izvještaju Atlantic Grupe iskazana je u TFI-POD obrascu na AOP poziciji 142 </t>
    </r>
    <r>
      <rPr>
        <i/>
        <sz val="10"/>
        <rFont val="Arial"/>
        <family val="2"/>
      </rPr>
      <t>Ostali troškovi</t>
    </r>
    <r>
      <rPr>
        <sz val="10"/>
        <rFont val="Arial"/>
        <family val="2"/>
        <charset val="238"/>
      </rPr>
      <t xml:space="preserve">. Ista AOP pozicija uključuje i razliku između pozicije </t>
    </r>
    <r>
      <rPr>
        <i/>
        <sz val="10"/>
        <rFont val="Arial"/>
        <family val="2"/>
      </rPr>
      <t>Troškovi radnika</t>
    </r>
    <r>
      <rPr>
        <sz val="10"/>
        <rFont val="Arial"/>
        <family val="2"/>
        <charset val="238"/>
      </rPr>
      <t xml:space="preserve"> iz konsolidiranog računa dobiti i gubitka objavljenog u kvartalnom izvještaju Atlantic Grupe i AOP pozicije 137 </t>
    </r>
    <r>
      <rPr>
        <i/>
        <sz val="10"/>
        <rFont val="Arial"/>
        <family val="2"/>
      </rPr>
      <t>Troškovi osoblja</t>
    </r>
    <r>
      <rPr>
        <sz val="10"/>
        <rFont val="Arial"/>
        <family val="2"/>
        <charset val="238"/>
      </rPr>
      <t xml:space="preserve">. Spomenuta razlika uključuje troškove prijevoza na posao, troškove regresa, troškove edukacije zaposlenika i ostale slične troškove osoblja.
Pozicija </t>
    </r>
    <r>
      <rPr>
        <i/>
        <sz val="10"/>
        <rFont val="Arial"/>
        <family val="2"/>
      </rPr>
      <t>Ostali troškovi</t>
    </r>
    <r>
      <rPr>
        <sz val="10"/>
        <rFont val="Arial"/>
        <family val="2"/>
        <charset val="238"/>
      </rPr>
      <t xml:space="preserve"> </t>
    </r>
    <r>
      <rPr>
        <i/>
        <sz val="10"/>
        <rFont val="Arial"/>
        <family val="2"/>
      </rPr>
      <t xml:space="preserve">poslovanja </t>
    </r>
    <r>
      <rPr>
        <sz val="10"/>
        <rFont val="Arial"/>
        <family val="2"/>
      </rPr>
      <t xml:space="preserve">iz konsolidiranog računa dobiti i gubitka objavljenog u kvartalnom izvještaju Atlantic Grupe iskazana je u TFI-POD obrascu na </t>
    </r>
    <r>
      <rPr>
        <i/>
        <sz val="10"/>
        <rFont val="Arial"/>
        <family val="2"/>
      </rPr>
      <t xml:space="preserve">AOP pozicijama </t>
    </r>
    <r>
      <rPr>
        <sz val="10"/>
        <rFont val="Arial"/>
        <family val="2"/>
      </rPr>
      <t xml:space="preserve">142 </t>
    </r>
    <r>
      <rPr>
        <i/>
        <sz val="10"/>
        <rFont val="Arial"/>
        <family val="2"/>
      </rPr>
      <t xml:space="preserve">Ostali troškovi i </t>
    </r>
    <r>
      <rPr>
        <sz val="10"/>
        <rFont val="Arial"/>
        <family val="2"/>
      </rPr>
      <t xml:space="preserve">153 </t>
    </r>
    <r>
      <rPr>
        <i/>
        <sz val="10"/>
        <rFont val="Arial"/>
        <family val="2"/>
      </rPr>
      <t xml:space="preserve">Ostali poslovni rashodi. </t>
    </r>
    <r>
      <rPr>
        <sz val="10"/>
        <rFont val="Arial"/>
        <family val="2"/>
      </rPr>
      <t>Pozicija</t>
    </r>
    <r>
      <rPr>
        <sz val="10"/>
        <rFont val="Arial"/>
        <family val="2"/>
        <charset val="238"/>
      </rPr>
      <t xml:space="preserve"> </t>
    </r>
    <r>
      <rPr>
        <i/>
        <sz val="10"/>
        <rFont val="Arial"/>
        <family val="2"/>
      </rPr>
      <t>Ostali dobici / (gubici) - neto</t>
    </r>
    <r>
      <rPr>
        <sz val="10"/>
        <rFont val="Arial"/>
        <family val="2"/>
        <charset val="238"/>
      </rPr>
      <t xml:space="preserve"> iz konsolidiranog računa dobiti i gubitka objavljenog u kvartalnom izvještaju Atlantic Grupe iskazana je u TFI-POD obrascu na AOP poziciji </t>
    </r>
    <r>
      <rPr>
        <sz val="10"/>
        <rFont val="Arial"/>
        <family val="2"/>
      </rPr>
      <t xml:space="preserve">153 </t>
    </r>
    <r>
      <rPr>
        <i/>
        <sz val="10"/>
        <rFont val="Arial"/>
        <family val="2"/>
      </rPr>
      <t>Ostali poslovni rashodi</t>
    </r>
    <r>
      <rPr>
        <sz val="10"/>
        <rFont val="Arial"/>
        <family val="2"/>
        <charset val="238"/>
      </rPr>
      <t>.
Nadalje, obveze po najmovima proizašle iz primjene MSFI 16 iskazane su u sklopu AOP 101 i AOP 113, a pravo na korištenje imovine u sklopu pozicija AOP 11 do AOP 19.
Bilješke uz konsolidirane financijske izvještaje priložene su u kvartalnom izvještaju Atlantic Grupe. Kvartalni izvještaj je dostupan na stranici https://www.atlantic.hr/hr/investitori/financijski-izvjestaji/.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</si>
</sst>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i/>
      <sz val="10"/>
      <name val="Arial"/>
      <family val="2"/>
    </font>
    <font>
      <sz val="10"/>
      <name val="Arial"/>
      <family val="2"/>
    </font>
    <font>
      <u/>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A4" sqref="A4:D4"/>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t="s">
        <v>433</v>
      </c>
      <c r="F4" s="136"/>
      <c r="G4" s="77" t="s">
        <v>0</v>
      </c>
      <c r="H4" s="135" t="s">
        <v>456</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414</v>
      </c>
      <c r="B10" s="148"/>
      <c r="C10" s="148"/>
      <c r="D10" s="148"/>
      <c r="E10" s="148"/>
      <c r="F10" s="148"/>
      <c r="G10" s="148"/>
      <c r="H10" s="148"/>
      <c r="I10" s="148"/>
      <c r="J10" s="90"/>
    </row>
    <row r="11" spans="1:20" ht="24.6" customHeight="1" x14ac:dyDescent="0.25">
      <c r="A11" s="149" t="s">
        <v>393</v>
      </c>
      <c r="B11" s="150"/>
      <c r="C11" s="142" t="s">
        <v>434</v>
      </c>
      <c r="D11" s="143"/>
      <c r="E11" s="91"/>
      <c r="F11" s="151" t="s">
        <v>415</v>
      </c>
      <c r="G11" s="141"/>
      <c r="H11" s="152" t="s">
        <v>435</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436</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437</v>
      </c>
      <c r="D15" s="143"/>
      <c r="E15" s="160"/>
      <c r="F15" s="161"/>
      <c r="G15" s="97" t="s">
        <v>416</v>
      </c>
      <c r="H15" s="152" t="s">
        <v>439</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417</v>
      </c>
      <c r="C17" s="142" t="s">
        <v>438</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440</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10000</v>
      </c>
      <c r="D21" s="153"/>
      <c r="E21" s="146"/>
      <c r="F21" s="146"/>
      <c r="G21" s="157" t="s">
        <v>441</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442</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443</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444</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18" t="s">
        <v>460</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420</v>
      </c>
      <c r="D31" s="166" t="s">
        <v>418</v>
      </c>
      <c r="E31" s="167"/>
      <c r="F31" s="167"/>
      <c r="G31" s="167"/>
      <c r="H31" s="106"/>
      <c r="I31" s="107" t="s">
        <v>419</v>
      </c>
      <c r="J31" s="108" t="s">
        <v>420</v>
      </c>
    </row>
    <row r="32" spans="1:10" x14ac:dyDescent="0.25">
      <c r="A32" s="149"/>
      <c r="B32" s="156"/>
      <c r="C32" s="109"/>
      <c r="D32" s="77"/>
      <c r="E32" s="161"/>
      <c r="F32" s="161"/>
      <c r="G32" s="161"/>
      <c r="H32" s="161"/>
      <c r="I32" s="104"/>
      <c r="J32" s="105"/>
    </row>
    <row r="33" spans="1:10" x14ac:dyDescent="0.25">
      <c r="A33" s="149" t="s">
        <v>410</v>
      </c>
      <c r="B33" s="156"/>
      <c r="C33" s="102" t="s">
        <v>422</v>
      </c>
      <c r="D33" s="166" t="s">
        <v>421</v>
      </c>
      <c r="E33" s="167"/>
      <c r="F33" s="167"/>
      <c r="G33" s="167"/>
      <c r="H33" s="100"/>
      <c r="I33" s="107" t="s">
        <v>422</v>
      </c>
      <c r="J33" s="108" t="s">
        <v>423</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t="s">
        <v>449</v>
      </c>
      <c r="B37" s="169"/>
      <c r="C37" s="169"/>
      <c r="D37" s="169"/>
      <c r="E37" s="168" t="s">
        <v>441</v>
      </c>
      <c r="F37" s="169"/>
      <c r="G37" s="169"/>
      <c r="H37" s="169"/>
      <c r="I37" s="170"/>
      <c r="J37" s="111" t="s">
        <v>445</v>
      </c>
    </row>
    <row r="38" spans="1:10" x14ac:dyDescent="0.25">
      <c r="A38" s="93"/>
      <c r="B38" s="94"/>
      <c r="C38" s="101"/>
      <c r="D38" s="171"/>
      <c r="E38" s="171"/>
      <c r="F38" s="171"/>
      <c r="G38" s="171"/>
      <c r="H38" s="171"/>
      <c r="I38" s="171"/>
      <c r="J38" s="96"/>
    </row>
    <row r="39" spans="1:10" x14ac:dyDescent="0.25">
      <c r="A39" s="168" t="s">
        <v>461</v>
      </c>
      <c r="B39" s="169"/>
      <c r="C39" s="169"/>
      <c r="D39" s="170"/>
      <c r="E39" s="168" t="s">
        <v>447</v>
      </c>
      <c r="F39" s="169"/>
      <c r="G39" s="169"/>
      <c r="H39" s="169"/>
      <c r="I39" s="170"/>
      <c r="J39" s="102">
        <v>2114011000</v>
      </c>
    </row>
    <row r="40" spans="1:10" x14ac:dyDescent="0.25">
      <c r="A40" s="93"/>
      <c r="B40" s="94"/>
      <c r="C40" s="101"/>
      <c r="D40" s="112"/>
      <c r="E40" s="171"/>
      <c r="F40" s="171"/>
      <c r="G40" s="171"/>
      <c r="H40" s="171"/>
      <c r="I40" s="95"/>
      <c r="J40" s="96"/>
    </row>
    <row r="41" spans="1:10" x14ac:dyDescent="0.25">
      <c r="A41" s="168" t="s">
        <v>457</v>
      </c>
      <c r="B41" s="169"/>
      <c r="C41" s="169"/>
      <c r="D41" s="170"/>
      <c r="E41" s="168" t="s">
        <v>448</v>
      </c>
      <c r="F41" s="169"/>
      <c r="G41" s="169"/>
      <c r="H41" s="169"/>
      <c r="I41" s="170"/>
      <c r="J41" s="102">
        <v>17173006</v>
      </c>
    </row>
    <row r="42" spans="1:10" x14ac:dyDescent="0.25">
      <c r="A42" s="93"/>
      <c r="B42" s="94"/>
      <c r="C42" s="101"/>
      <c r="D42" s="112"/>
      <c r="E42" s="171"/>
      <c r="F42" s="171"/>
      <c r="G42" s="171"/>
      <c r="H42" s="171"/>
      <c r="I42" s="95"/>
      <c r="J42" s="96"/>
    </row>
    <row r="43" spans="1:10" x14ac:dyDescent="0.25">
      <c r="A43" s="168" t="s">
        <v>458</v>
      </c>
      <c r="B43" s="169"/>
      <c r="C43" s="169"/>
      <c r="D43" s="170"/>
      <c r="E43" s="168" t="s">
        <v>448</v>
      </c>
      <c r="F43" s="169"/>
      <c r="G43" s="169"/>
      <c r="H43" s="169"/>
      <c r="I43" s="170"/>
      <c r="J43" s="102" t="s">
        <v>446</v>
      </c>
    </row>
    <row r="44" spans="1:10" x14ac:dyDescent="0.25">
      <c r="A44" s="113"/>
      <c r="B44" s="101"/>
      <c r="C44" s="172"/>
      <c r="D44" s="172"/>
      <c r="E44" s="146"/>
      <c r="F44" s="146"/>
      <c r="G44" s="172"/>
      <c r="H44" s="172"/>
      <c r="I44" s="172"/>
      <c r="J44" s="96"/>
    </row>
    <row r="45" spans="1:10" x14ac:dyDescent="0.25">
      <c r="A45" s="168" t="s">
        <v>449</v>
      </c>
      <c r="B45" s="169"/>
      <c r="C45" s="169"/>
      <c r="D45" s="170"/>
      <c r="E45" s="168" t="s">
        <v>447</v>
      </c>
      <c r="F45" s="169"/>
      <c r="G45" s="169"/>
      <c r="H45" s="169"/>
      <c r="I45" s="170"/>
      <c r="J45" s="102">
        <v>17861640000</v>
      </c>
    </row>
    <row r="46" spans="1:10" x14ac:dyDescent="0.25">
      <c r="A46" s="113"/>
      <c r="B46" s="101"/>
      <c r="C46" s="101"/>
      <c r="D46" s="94"/>
      <c r="E46" s="173"/>
      <c r="F46" s="173"/>
      <c r="G46" s="172"/>
      <c r="H46" s="172"/>
      <c r="I46" s="94"/>
      <c r="J46" s="96"/>
    </row>
    <row r="47" spans="1:10" x14ac:dyDescent="0.25">
      <c r="A47" s="168" t="s">
        <v>459</v>
      </c>
      <c r="B47" s="169"/>
      <c r="C47" s="169"/>
      <c r="D47" s="170"/>
      <c r="E47" s="168" t="s">
        <v>441</v>
      </c>
      <c r="F47" s="169"/>
      <c r="G47" s="169"/>
      <c r="H47" s="169"/>
      <c r="I47" s="170"/>
      <c r="J47" s="102">
        <v>1473948</v>
      </c>
    </row>
    <row r="48" spans="1:10" x14ac:dyDescent="0.25">
      <c r="A48" s="113"/>
      <c r="B48" s="101"/>
      <c r="C48" s="101"/>
      <c r="D48" s="94"/>
      <c r="E48" s="146"/>
      <c r="F48" s="146"/>
      <c r="G48" s="172"/>
      <c r="H48" s="172"/>
      <c r="I48" s="94"/>
      <c r="J48" s="114" t="s">
        <v>424</v>
      </c>
    </row>
    <row r="49" spans="1:10" x14ac:dyDescent="0.25">
      <c r="A49" s="113"/>
      <c r="B49" s="101"/>
      <c r="C49" s="101"/>
      <c r="D49" s="94"/>
      <c r="E49" s="146"/>
      <c r="F49" s="146"/>
      <c r="G49" s="172"/>
      <c r="H49" s="172"/>
      <c r="I49" s="94"/>
      <c r="J49" s="114" t="s">
        <v>425</v>
      </c>
    </row>
    <row r="50" spans="1:10" ht="14.45" customHeight="1" x14ac:dyDescent="0.25">
      <c r="A50" s="140" t="s">
        <v>403</v>
      </c>
      <c r="B50" s="151"/>
      <c r="C50" s="152" t="s">
        <v>425</v>
      </c>
      <c r="D50" s="153"/>
      <c r="E50" s="178" t="s">
        <v>426</v>
      </c>
      <c r="F50" s="179"/>
      <c r="G50" s="157"/>
      <c r="H50" s="158"/>
      <c r="I50" s="158"/>
      <c r="J50" s="159"/>
    </row>
    <row r="51" spans="1:10" x14ac:dyDescent="0.25">
      <c r="A51" s="113"/>
      <c r="B51" s="101"/>
      <c r="C51" s="172"/>
      <c r="D51" s="172"/>
      <c r="E51" s="146"/>
      <c r="F51" s="146"/>
      <c r="G51" s="180" t="s">
        <v>427</v>
      </c>
      <c r="H51" s="180"/>
      <c r="I51" s="180"/>
      <c r="J51" s="85"/>
    </row>
    <row r="52" spans="1:10" ht="13.9" customHeight="1" x14ac:dyDescent="0.25">
      <c r="A52" s="140" t="s">
        <v>404</v>
      </c>
      <c r="B52" s="151"/>
      <c r="C52" s="157" t="s">
        <v>450</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451</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452</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428</v>
      </c>
      <c r="B58" s="151"/>
      <c r="C58" s="181"/>
      <c r="D58" s="182"/>
      <c r="E58" s="182"/>
      <c r="F58" s="182"/>
      <c r="G58" s="182"/>
      <c r="H58" s="182"/>
      <c r="I58" s="182"/>
      <c r="J58" s="183"/>
    </row>
    <row r="59" spans="1:10" ht="14.45" customHeight="1" x14ac:dyDescent="0.25">
      <c r="A59" s="93"/>
      <c r="B59" s="94"/>
      <c r="C59" s="184" t="s">
        <v>429</v>
      </c>
      <c r="D59" s="184"/>
      <c r="E59" s="184"/>
      <c r="F59" s="184"/>
      <c r="G59" s="94"/>
      <c r="H59" s="94"/>
      <c r="I59" s="94"/>
      <c r="J59" s="96"/>
    </row>
    <row r="60" spans="1:10" x14ac:dyDescent="0.25">
      <c r="A60" s="140" t="s">
        <v>430</v>
      </c>
      <c r="B60" s="151"/>
      <c r="C60" s="181"/>
      <c r="D60" s="182"/>
      <c r="E60" s="182"/>
      <c r="F60" s="182"/>
      <c r="G60" s="182"/>
      <c r="H60" s="182"/>
      <c r="I60" s="182"/>
      <c r="J60" s="183"/>
    </row>
    <row r="61" spans="1:10" ht="14.45" customHeight="1" x14ac:dyDescent="0.25">
      <c r="A61" s="115"/>
      <c r="B61" s="116"/>
      <c r="C61" s="185" t="s">
        <v>431</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zoomScaleNormal="100" zoomScaleSheetLayoutView="10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455</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432</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2759970005</v>
      </c>
      <c r="I9" s="34">
        <f>I10+I17+I27+I38+I43</f>
        <v>3076783030</v>
      </c>
    </row>
    <row r="10" spans="1:9" ht="12.75" customHeight="1" x14ac:dyDescent="0.2">
      <c r="A10" s="187" t="s">
        <v>5</v>
      </c>
      <c r="B10" s="187"/>
      <c r="C10" s="187"/>
      <c r="D10" s="187"/>
      <c r="E10" s="187"/>
      <c r="F10" s="187"/>
      <c r="G10" s="16">
        <v>3</v>
      </c>
      <c r="H10" s="34">
        <f>H11+H12+H13+H14+H15+H16</f>
        <v>1706820176</v>
      </c>
      <c r="I10" s="34">
        <f>I11+I12+I13+I14+I15+I16</f>
        <v>1658675414</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866586832</v>
      </c>
      <c r="I12" s="33">
        <v>852843453.00000012</v>
      </c>
    </row>
    <row r="13" spans="1:9" ht="12.75" customHeight="1" x14ac:dyDescent="0.2">
      <c r="A13" s="186" t="s">
        <v>8</v>
      </c>
      <c r="B13" s="186"/>
      <c r="C13" s="186"/>
      <c r="D13" s="186"/>
      <c r="E13" s="186"/>
      <c r="F13" s="186"/>
      <c r="G13" s="15">
        <v>6</v>
      </c>
      <c r="H13" s="33">
        <v>812507811</v>
      </c>
      <c r="I13" s="33">
        <v>782310857</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26331325</v>
      </c>
      <c r="I15" s="33">
        <v>22540331.000000004</v>
      </c>
    </row>
    <row r="16" spans="1:9" ht="12.75" customHeight="1" x14ac:dyDescent="0.2">
      <c r="A16" s="186" t="s">
        <v>11</v>
      </c>
      <c r="B16" s="186"/>
      <c r="C16" s="186"/>
      <c r="D16" s="186"/>
      <c r="E16" s="186"/>
      <c r="F16" s="186"/>
      <c r="G16" s="15">
        <v>9</v>
      </c>
      <c r="H16" s="33">
        <v>1394208</v>
      </c>
      <c r="I16" s="33">
        <v>980773</v>
      </c>
    </row>
    <row r="17" spans="1:9" ht="12.75" customHeight="1" x14ac:dyDescent="0.2">
      <c r="A17" s="187" t="s">
        <v>12</v>
      </c>
      <c r="B17" s="187"/>
      <c r="C17" s="187"/>
      <c r="D17" s="187"/>
      <c r="E17" s="187"/>
      <c r="F17" s="187"/>
      <c r="G17" s="16">
        <v>10</v>
      </c>
      <c r="H17" s="34">
        <f>H18+H19+H20+H21+H22+H23+H24+H25+H26</f>
        <v>968011510</v>
      </c>
      <c r="I17" s="34">
        <f>I18+I19+I20+I21+I22+I23+I24+I25+I26</f>
        <v>1344473825</v>
      </c>
    </row>
    <row r="18" spans="1:9" ht="12.75" customHeight="1" x14ac:dyDescent="0.2">
      <c r="A18" s="186" t="s">
        <v>13</v>
      </c>
      <c r="B18" s="186"/>
      <c r="C18" s="186"/>
      <c r="D18" s="186"/>
      <c r="E18" s="186"/>
      <c r="F18" s="186"/>
      <c r="G18" s="15">
        <v>11</v>
      </c>
      <c r="H18" s="33">
        <v>96464439</v>
      </c>
      <c r="I18" s="33">
        <v>91156184</v>
      </c>
    </row>
    <row r="19" spans="1:9" ht="12.75" customHeight="1" x14ac:dyDescent="0.2">
      <c r="A19" s="186" t="s">
        <v>14</v>
      </c>
      <c r="B19" s="186"/>
      <c r="C19" s="186"/>
      <c r="D19" s="186"/>
      <c r="E19" s="186"/>
      <c r="F19" s="186"/>
      <c r="G19" s="15">
        <v>12</v>
      </c>
      <c r="H19" s="33">
        <v>390699711</v>
      </c>
      <c r="I19" s="33">
        <v>656452183.99999988</v>
      </c>
    </row>
    <row r="20" spans="1:9" ht="12.75" customHeight="1" x14ac:dyDescent="0.2">
      <c r="A20" s="186" t="s">
        <v>15</v>
      </c>
      <c r="B20" s="186"/>
      <c r="C20" s="186"/>
      <c r="D20" s="186"/>
      <c r="E20" s="186"/>
      <c r="F20" s="186"/>
      <c r="G20" s="15">
        <v>13</v>
      </c>
      <c r="H20" s="33">
        <v>381081675</v>
      </c>
      <c r="I20" s="33">
        <v>475412073</v>
      </c>
    </row>
    <row r="21" spans="1:9" ht="12.75" customHeight="1" x14ac:dyDescent="0.2">
      <c r="A21" s="186" t="s">
        <v>16</v>
      </c>
      <c r="B21" s="186"/>
      <c r="C21" s="186"/>
      <c r="D21" s="186"/>
      <c r="E21" s="186"/>
      <c r="F21" s="186"/>
      <c r="G21" s="15">
        <v>14</v>
      </c>
      <c r="H21" s="33">
        <v>0</v>
      </c>
      <c r="I21" s="33">
        <v>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12102955</v>
      </c>
      <c r="I23" s="33">
        <v>35924887</v>
      </c>
    </row>
    <row r="24" spans="1:9" ht="12.75" customHeight="1" x14ac:dyDescent="0.2">
      <c r="A24" s="186" t="s">
        <v>19</v>
      </c>
      <c r="B24" s="186"/>
      <c r="C24" s="186"/>
      <c r="D24" s="186"/>
      <c r="E24" s="186"/>
      <c r="F24" s="186"/>
      <c r="G24" s="15">
        <v>17</v>
      </c>
      <c r="H24" s="33">
        <v>86511159</v>
      </c>
      <c r="I24" s="33">
        <v>85216631</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1151571</v>
      </c>
      <c r="I26" s="33">
        <v>311866</v>
      </c>
    </row>
    <row r="27" spans="1:9" ht="12.75" customHeight="1" x14ac:dyDescent="0.2">
      <c r="A27" s="187" t="s">
        <v>22</v>
      </c>
      <c r="B27" s="187"/>
      <c r="C27" s="187"/>
      <c r="D27" s="187"/>
      <c r="E27" s="187"/>
      <c r="F27" s="187"/>
      <c r="G27" s="16">
        <v>20</v>
      </c>
      <c r="H27" s="34">
        <f>SUM(H28:H37)</f>
        <v>45901346</v>
      </c>
      <c r="I27" s="34">
        <f>SUM(I28:I37)</f>
        <v>34937523.999999993</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44874010</v>
      </c>
      <c r="I35" s="33">
        <v>33912284.999999993</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1027336</v>
      </c>
      <c r="I37" s="33">
        <v>1025239</v>
      </c>
    </row>
    <row r="38" spans="1:9" ht="12.75" customHeight="1" x14ac:dyDescent="0.2">
      <c r="A38" s="187" t="s">
        <v>33</v>
      </c>
      <c r="B38" s="187"/>
      <c r="C38" s="187"/>
      <c r="D38" s="187"/>
      <c r="E38" s="187"/>
      <c r="F38" s="187"/>
      <c r="G38" s="16">
        <v>31</v>
      </c>
      <c r="H38" s="34">
        <f>H39+H40+H41+H42</f>
        <v>7293783</v>
      </c>
      <c r="I38" s="34">
        <f>I39+I40+I41+I42</f>
        <v>6900536</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7293783</v>
      </c>
      <c r="I42" s="33">
        <v>6900536</v>
      </c>
    </row>
    <row r="43" spans="1:9" ht="12.75" customHeight="1" x14ac:dyDescent="0.2">
      <c r="A43" s="186" t="s">
        <v>38</v>
      </c>
      <c r="B43" s="186"/>
      <c r="C43" s="186"/>
      <c r="D43" s="186"/>
      <c r="E43" s="186"/>
      <c r="F43" s="186"/>
      <c r="G43" s="15">
        <v>36</v>
      </c>
      <c r="H43" s="33">
        <v>31943190</v>
      </c>
      <c r="I43" s="33">
        <v>31795731</v>
      </c>
    </row>
    <row r="44" spans="1:9" ht="12.75" customHeight="1" x14ac:dyDescent="0.2">
      <c r="A44" s="188" t="s">
        <v>382</v>
      </c>
      <c r="B44" s="188"/>
      <c r="C44" s="188"/>
      <c r="D44" s="188"/>
      <c r="E44" s="188"/>
      <c r="F44" s="188"/>
      <c r="G44" s="16">
        <v>37</v>
      </c>
      <c r="H44" s="34">
        <f>H45+H53+H60+H70</f>
        <v>2175375500</v>
      </c>
      <c r="I44" s="34">
        <f>I45+I53+I60+I70</f>
        <v>2170486184</v>
      </c>
    </row>
    <row r="45" spans="1:9" ht="12.75" customHeight="1" x14ac:dyDescent="0.2">
      <c r="A45" s="187" t="s">
        <v>39</v>
      </c>
      <c r="B45" s="187"/>
      <c r="C45" s="187"/>
      <c r="D45" s="187"/>
      <c r="E45" s="187"/>
      <c r="F45" s="187"/>
      <c r="G45" s="16">
        <v>38</v>
      </c>
      <c r="H45" s="34">
        <f>SUM(H46:H52)</f>
        <v>499493862</v>
      </c>
      <c r="I45" s="34">
        <f>SUM(I46:I52)</f>
        <v>506871174</v>
      </c>
    </row>
    <row r="46" spans="1:9" ht="12.75" customHeight="1" x14ac:dyDescent="0.2">
      <c r="A46" s="186" t="s">
        <v>40</v>
      </c>
      <c r="B46" s="186"/>
      <c r="C46" s="186"/>
      <c r="D46" s="186"/>
      <c r="E46" s="186"/>
      <c r="F46" s="186"/>
      <c r="G46" s="15">
        <v>39</v>
      </c>
      <c r="H46" s="33">
        <v>97670174</v>
      </c>
      <c r="I46" s="33">
        <v>85815111</v>
      </c>
    </row>
    <row r="47" spans="1:9" ht="12.75" customHeight="1" x14ac:dyDescent="0.2">
      <c r="A47" s="186" t="s">
        <v>41</v>
      </c>
      <c r="B47" s="186"/>
      <c r="C47" s="186"/>
      <c r="D47" s="186"/>
      <c r="E47" s="186"/>
      <c r="F47" s="186"/>
      <c r="G47" s="15">
        <v>40</v>
      </c>
      <c r="H47" s="33">
        <v>14360039</v>
      </c>
      <c r="I47" s="33">
        <v>13353771.999999998</v>
      </c>
    </row>
    <row r="48" spans="1:9" ht="12.75" customHeight="1" x14ac:dyDescent="0.2">
      <c r="A48" s="186" t="s">
        <v>42</v>
      </c>
      <c r="B48" s="186"/>
      <c r="C48" s="186"/>
      <c r="D48" s="186"/>
      <c r="E48" s="186"/>
      <c r="F48" s="186"/>
      <c r="G48" s="15">
        <v>41</v>
      </c>
      <c r="H48" s="33">
        <v>156632516</v>
      </c>
      <c r="I48" s="33">
        <v>163487383</v>
      </c>
    </row>
    <row r="49" spans="1:9" ht="12.75" customHeight="1" x14ac:dyDescent="0.2">
      <c r="A49" s="186" t="s">
        <v>43</v>
      </c>
      <c r="B49" s="186"/>
      <c r="C49" s="186"/>
      <c r="D49" s="186"/>
      <c r="E49" s="186"/>
      <c r="F49" s="186"/>
      <c r="G49" s="15">
        <v>42</v>
      </c>
      <c r="H49" s="33">
        <v>224631689</v>
      </c>
      <c r="I49" s="33">
        <v>236705490.99999997</v>
      </c>
    </row>
    <row r="50" spans="1:9" ht="12.75" customHeight="1" x14ac:dyDescent="0.2">
      <c r="A50" s="186" t="s">
        <v>44</v>
      </c>
      <c r="B50" s="186"/>
      <c r="C50" s="186"/>
      <c r="D50" s="186"/>
      <c r="E50" s="186"/>
      <c r="F50" s="186"/>
      <c r="G50" s="15">
        <v>43</v>
      </c>
      <c r="H50" s="33">
        <v>616088</v>
      </c>
      <c r="I50" s="33">
        <v>1925381</v>
      </c>
    </row>
    <row r="51" spans="1:9" ht="12.75" customHeight="1" x14ac:dyDescent="0.2">
      <c r="A51" s="186" t="s">
        <v>45</v>
      </c>
      <c r="B51" s="186"/>
      <c r="C51" s="186"/>
      <c r="D51" s="186"/>
      <c r="E51" s="186"/>
      <c r="F51" s="186"/>
      <c r="G51" s="15">
        <v>44</v>
      </c>
      <c r="H51" s="33">
        <v>5583356</v>
      </c>
      <c r="I51" s="33">
        <v>5584036</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1247298102</v>
      </c>
      <c r="I53" s="34">
        <f>SUM(I54:I59)</f>
        <v>1268567868</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1076925785</v>
      </c>
      <c r="I56" s="33">
        <v>1096702998</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36670142</v>
      </c>
      <c r="I58" s="33">
        <v>34948839</v>
      </c>
    </row>
    <row r="59" spans="1:9" ht="12.75" customHeight="1" x14ac:dyDescent="0.2">
      <c r="A59" s="186" t="s">
        <v>53</v>
      </c>
      <c r="B59" s="186"/>
      <c r="C59" s="186"/>
      <c r="D59" s="186"/>
      <c r="E59" s="186"/>
      <c r="F59" s="186"/>
      <c r="G59" s="15">
        <v>52</v>
      </c>
      <c r="H59" s="33">
        <v>133702175</v>
      </c>
      <c r="I59" s="33">
        <v>136916031</v>
      </c>
    </row>
    <row r="60" spans="1:9" ht="12.75" customHeight="1" x14ac:dyDescent="0.2">
      <c r="A60" s="187" t="s">
        <v>54</v>
      </c>
      <c r="B60" s="187"/>
      <c r="C60" s="187"/>
      <c r="D60" s="187"/>
      <c r="E60" s="187"/>
      <c r="F60" s="187"/>
      <c r="G60" s="16">
        <v>53</v>
      </c>
      <c r="H60" s="34">
        <f>SUM(H61:H69)</f>
        <v>14920080</v>
      </c>
      <c r="I60" s="34">
        <f>SUM(I61:I69)</f>
        <v>10521359.999999998</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14920080</v>
      </c>
      <c r="I68" s="33">
        <v>10521359.999999998</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413663456</v>
      </c>
      <c r="I70" s="33">
        <v>384525781.99999994</v>
      </c>
    </row>
    <row r="71" spans="1:9" ht="12.75" customHeight="1" x14ac:dyDescent="0.2">
      <c r="A71" s="203" t="s">
        <v>58</v>
      </c>
      <c r="B71" s="203"/>
      <c r="C71" s="203"/>
      <c r="D71" s="203"/>
      <c r="E71" s="203"/>
      <c r="F71" s="203"/>
      <c r="G71" s="15">
        <v>64</v>
      </c>
      <c r="H71" s="33">
        <v>0</v>
      </c>
      <c r="I71" s="33">
        <v>0</v>
      </c>
    </row>
    <row r="72" spans="1:9" ht="12.75" customHeight="1" x14ac:dyDescent="0.2">
      <c r="A72" s="188" t="s">
        <v>383</v>
      </c>
      <c r="B72" s="188"/>
      <c r="C72" s="188"/>
      <c r="D72" s="188"/>
      <c r="E72" s="188"/>
      <c r="F72" s="188"/>
      <c r="G72" s="16">
        <v>65</v>
      </c>
      <c r="H72" s="34">
        <f>H8+H9+H44+H71</f>
        <v>4935345505</v>
      </c>
      <c r="I72" s="34">
        <f>I8+I9+I44+I71</f>
        <v>5247269214</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2398440775</v>
      </c>
      <c r="I75" s="34">
        <f>I76+I77+I78+I84+I85+I89+I92+I95</f>
        <v>2669801694</v>
      </c>
    </row>
    <row r="76" spans="1:9" ht="12.75" customHeight="1" x14ac:dyDescent="0.2">
      <c r="A76" s="186" t="s">
        <v>61</v>
      </c>
      <c r="B76" s="186"/>
      <c r="C76" s="186"/>
      <c r="D76" s="186"/>
      <c r="E76" s="186"/>
      <c r="F76" s="186"/>
      <c r="G76" s="15">
        <v>68</v>
      </c>
      <c r="H76" s="33">
        <v>133372000</v>
      </c>
      <c r="I76" s="33">
        <v>133372000</v>
      </c>
    </row>
    <row r="77" spans="1:9" ht="12.75" customHeight="1" x14ac:dyDescent="0.2">
      <c r="A77" s="186" t="s">
        <v>62</v>
      </c>
      <c r="B77" s="186"/>
      <c r="C77" s="186"/>
      <c r="D77" s="186"/>
      <c r="E77" s="186"/>
      <c r="F77" s="186"/>
      <c r="G77" s="15">
        <v>69</v>
      </c>
      <c r="H77" s="33">
        <v>881275444</v>
      </c>
      <c r="I77" s="33">
        <v>881323482</v>
      </c>
    </row>
    <row r="78" spans="1:9" ht="12.75" customHeight="1" x14ac:dyDescent="0.2">
      <c r="A78" s="187" t="s">
        <v>63</v>
      </c>
      <c r="B78" s="187"/>
      <c r="C78" s="187"/>
      <c r="D78" s="187"/>
      <c r="E78" s="187"/>
      <c r="F78" s="187"/>
      <c r="G78" s="16">
        <v>70</v>
      </c>
      <c r="H78" s="34">
        <f>SUM(H79:H83)</f>
        <v>-79691193</v>
      </c>
      <c r="I78" s="34">
        <f>SUM(I79:I83)</f>
        <v>-83942024</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-91568</v>
      </c>
      <c r="I81" s="33">
        <v>-5883769</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-79599625</v>
      </c>
      <c r="I83" s="33">
        <v>-78058255</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-2027863</v>
      </c>
      <c r="I85" s="34">
        <f>I86+I87+I88</f>
        <v>-4992984</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-2027863</v>
      </c>
      <c r="I87" s="33">
        <v>-4992984</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1217673463</v>
      </c>
      <c r="I89" s="34">
        <f>I90-I91</f>
        <v>1349798156</v>
      </c>
    </row>
    <row r="90" spans="1:9" ht="12.75" customHeight="1" x14ac:dyDescent="0.2">
      <c r="A90" s="186" t="s">
        <v>75</v>
      </c>
      <c r="B90" s="186"/>
      <c r="C90" s="186"/>
      <c r="D90" s="186"/>
      <c r="E90" s="186"/>
      <c r="F90" s="186"/>
      <c r="G90" s="15">
        <v>82</v>
      </c>
      <c r="H90" s="33">
        <v>1217673463</v>
      </c>
      <c r="I90" s="33">
        <v>1349798156</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243970033</v>
      </c>
      <c r="I92" s="34">
        <f>I93-I94</f>
        <v>388880497</v>
      </c>
    </row>
    <row r="93" spans="1:9" ht="12.75" customHeight="1" x14ac:dyDescent="0.2">
      <c r="A93" s="186" t="s">
        <v>78</v>
      </c>
      <c r="B93" s="186"/>
      <c r="C93" s="186"/>
      <c r="D93" s="186"/>
      <c r="E93" s="186"/>
      <c r="F93" s="186"/>
      <c r="G93" s="15">
        <v>85</v>
      </c>
      <c r="H93" s="33">
        <v>243970033</v>
      </c>
      <c r="I93" s="33">
        <v>388880497</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3868891</v>
      </c>
      <c r="I95" s="33">
        <v>5362567</v>
      </c>
    </row>
    <row r="96" spans="1:9" ht="12.75" customHeight="1" x14ac:dyDescent="0.2">
      <c r="A96" s="188" t="s">
        <v>385</v>
      </c>
      <c r="B96" s="188"/>
      <c r="C96" s="188"/>
      <c r="D96" s="188"/>
      <c r="E96" s="188"/>
      <c r="F96" s="188"/>
      <c r="G96" s="16">
        <v>88</v>
      </c>
      <c r="H96" s="34">
        <f>SUM(H97:H102)</f>
        <v>0</v>
      </c>
      <c r="I96" s="34">
        <f>SUM(I97:I102)</f>
        <v>0</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1027736161</v>
      </c>
      <c r="I103" s="34">
        <f>SUM(I104:I114)</f>
        <v>929022687</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606035618</v>
      </c>
      <c r="I109" s="33">
        <v>508093979</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199846460</v>
      </c>
      <c r="I112" s="33">
        <v>199982672</v>
      </c>
    </row>
    <row r="113" spans="1:9" ht="12.75" customHeight="1" x14ac:dyDescent="0.2">
      <c r="A113" s="186" t="s">
        <v>96</v>
      </c>
      <c r="B113" s="186"/>
      <c r="C113" s="186"/>
      <c r="D113" s="186"/>
      <c r="E113" s="186"/>
      <c r="F113" s="186"/>
      <c r="G113" s="15">
        <v>105</v>
      </c>
      <c r="H113" s="33">
        <v>61416709</v>
      </c>
      <c r="I113" s="33">
        <v>67718283</v>
      </c>
    </row>
    <row r="114" spans="1:9" ht="12.75" customHeight="1" x14ac:dyDescent="0.2">
      <c r="A114" s="186" t="s">
        <v>97</v>
      </c>
      <c r="B114" s="186"/>
      <c r="C114" s="186"/>
      <c r="D114" s="186"/>
      <c r="E114" s="186"/>
      <c r="F114" s="186"/>
      <c r="G114" s="15">
        <v>106</v>
      </c>
      <c r="H114" s="33">
        <v>160437374</v>
      </c>
      <c r="I114" s="33">
        <v>153227753</v>
      </c>
    </row>
    <row r="115" spans="1:9" ht="12.75" customHeight="1" x14ac:dyDescent="0.2">
      <c r="A115" s="188" t="s">
        <v>387</v>
      </c>
      <c r="B115" s="188"/>
      <c r="C115" s="188"/>
      <c r="D115" s="188"/>
      <c r="E115" s="188"/>
      <c r="F115" s="188"/>
      <c r="G115" s="16">
        <v>107</v>
      </c>
      <c r="H115" s="34">
        <f>SUM(H116:H129)</f>
        <v>1509168569</v>
      </c>
      <c r="I115" s="34">
        <f>SUM(I116:I129)</f>
        <v>1648444833</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472262002</v>
      </c>
      <c r="I121" s="33">
        <v>597245814</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632497892</v>
      </c>
      <c r="I123" s="33">
        <v>669296402</v>
      </c>
    </row>
    <row r="124" spans="1:9" x14ac:dyDescent="0.2">
      <c r="A124" s="186" t="s">
        <v>95</v>
      </c>
      <c r="B124" s="186"/>
      <c r="C124" s="186"/>
      <c r="D124" s="186"/>
      <c r="E124" s="186"/>
      <c r="F124" s="186"/>
      <c r="G124" s="15">
        <v>116</v>
      </c>
      <c r="H124" s="33">
        <v>123649</v>
      </c>
      <c r="I124" s="33">
        <v>123647</v>
      </c>
    </row>
    <row r="125" spans="1:9" x14ac:dyDescent="0.2">
      <c r="A125" s="186" t="s">
        <v>98</v>
      </c>
      <c r="B125" s="186"/>
      <c r="C125" s="186"/>
      <c r="D125" s="186"/>
      <c r="E125" s="186"/>
      <c r="F125" s="186"/>
      <c r="G125" s="15">
        <v>117</v>
      </c>
      <c r="H125" s="33">
        <v>32548843</v>
      </c>
      <c r="I125" s="33">
        <v>27833436</v>
      </c>
    </row>
    <row r="126" spans="1:9" x14ac:dyDescent="0.2">
      <c r="A126" s="186" t="s">
        <v>99</v>
      </c>
      <c r="B126" s="186"/>
      <c r="C126" s="186"/>
      <c r="D126" s="186"/>
      <c r="E126" s="186"/>
      <c r="F126" s="186"/>
      <c r="G126" s="15">
        <v>118</v>
      </c>
      <c r="H126" s="33">
        <v>25291629</v>
      </c>
      <c r="I126" s="33">
        <v>7012727</v>
      </c>
    </row>
    <row r="127" spans="1:9" x14ac:dyDescent="0.2">
      <c r="A127" s="186" t="s">
        <v>100</v>
      </c>
      <c r="B127" s="186"/>
      <c r="C127" s="186"/>
      <c r="D127" s="186"/>
      <c r="E127" s="186"/>
      <c r="F127" s="186"/>
      <c r="G127" s="15">
        <v>119</v>
      </c>
      <c r="H127" s="33">
        <v>264091</v>
      </c>
      <c r="I127" s="33">
        <v>107092</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346180463</v>
      </c>
      <c r="I129" s="33">
        <v>346825715</v>
      </c>
    </row>
    <row r="130" spans="1:9" ht="22.15" customHeight="1" x14ac:dyDescent="0.2">
      <c r="A130" s="203" t="s">
        <v>103</v>
      </c>
      <c r="B130" s="203"/>
      <c r="C130" s="203"/>
      <c r="D130" s="203"/>
      <c r="E130" s="203"/>
      <c r="F130" s="203"/>
      <c r="G130" s="15">
        <v>122</v>
      </c>
      <c r="H130" s="33">
        <v>0</v>
      </c>
      <c r="I130" s="33">
        <v>0</v>
      </c>
    </row>
    <row r="131" spans="1:9" x14ac:dyDescent="0.2">
      <c r="A131" s="188" t="s">
        <v>388</v>
      </c>
      <c r="B131" s="188"/>
      <c r="C131" s="188"/>
      <c r="D131" s="188"/>
      <c r="E131" s="188"/>
      <c r="F131" s="188"/>
      <c r="G131" s="16">
        <v>123</v>
      </c>
      <c r="H131" s="34">
        <f>H75+H96+H103+H115+H130</f>
        <v>4935345505</v>
      </c>
      <c r="I131" s="34">
        <f>I75+I96+I103+I115+I130</f>
        <v>5247269214</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90" zoomScaleNormal="100" zoomScaleSheetLayoutView="9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454</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432</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5330624136</v>
      </c>
      <c r="I8" s="37">
        <f>SUM(I9:I13)</f>
        <v>1392251461</v>
      </c>
      <c r="J8" s="37">
        <f>SUM(J9:J13)</f>
        <v>5506403839</v>
      </c>
      <c r="K8" s="37">
        <f>SUM(K9:K13)</f>
        <v>1445387570</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5255506219</v>
      </c>
      <c r="I10" s="33">
        <v>1368827297</v>
      </c>
      <c r="J10" s="33">
        <v>5431731374</v>
      </c>
      <c r="K10" s="33">
        <v>1419324121</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75117917</v>
      </c>
      <c r="I13" s="33">
        <v>23424164</v>
      </c>
      <c r="J13" s="33">
        <v>74672465</v>
      </c>
      <c r="K13" s="33">
        <v>26063449</v>
      </c>
    </row>
    <row r="14" spans="1:11" x14ac:dyDescent="0.2">
      <c r="A14" s="222" t="s">
        <v>126</v>
      </c>
      <c r="B14" s="222"/>
      <c r="C14" s="222"/>
      <c r="D14" s="222"/>
      <c r="E14" s="222"/>
      <c r="F14" s="222"/>
      <c r="G14" s="20">
        <v>131</v>
      </c>
      <c r="H14" s="37">
        <f>H15+H16+H20+H24+H25+H26+H29+H36</f>
        <v>4963857190</v>
      </c>
      <c r="I14" s="37">
        <f>I15+I16+I20+I24+I25+I26+I29+I36</f>
        <v>1439324221</v>
      </c>
      <c r="J14" s="37">
        <f>J15+J16+J20+J24+J25+J26+J29+J36</f>
        <v>5005971166</v>
      </c>
      <c r="K14" s="37">
        <f>K15+K16+K20+K24+K25+K26+K29+K36</f>
        <v>1397817069</v>
      </c>
    </row>
    <row r="15" spans="1:11" x14ac:dyDescent="0.2">
      <c r="A15" s="186" t="s">
        <v>108</v>
      </c>
      <c r="B15" s="186"/>
      <c r="C15" s="186"/>
      <c r="D15" s="186"/>
      <c r="E15" s="186"/>
      <c r="F15" s="186"/>
      <c r="G15" s="15">
        <v>132</v>
      </c>
      <c r="H15" s="33">
        <v>13194879</v>
      </c>
      <c r="I15" s="33">
        <v>2914203</v>
      </c>
      <c r="J15" s="33">
        <v>-18234735</v>
      </c>
      <c r="K15" s="33">
        <v>9299078</v>
      </c>
    </row>
    <row r="16" spans="1:11" x14ac:dyDescent="0.2">
      <c r="A16" s="231" t="s">
        <v>127</v>
      </c>
      <c r="B16" s="231"/>
      <c r="C16" s="231"/>
      <c r="D16" s="231"/>
      <c r="E16" s="231"/>
      <c r="F16" s="231"/>
      <c r="G16" s="20">
        <v>133</v>
      </c>
      <c r="H16" s="37">
        <f>SUM(H17:H19)</f>
        <v>2956472659</v>
      </c>
      <c r="I16" s="37">
        <f>SUM(I17:I19)</f>
        <v>805939751.99999988</v>
      </c>
      <c r="J16" s="37">
        <f>SUM(J17:J19)</f>
        <v>3084088072</v>
      </c>
      <c r="K16" s="37">
        <f>SUM(K17:K19)</f>
        <v>830225068</v>
      </c>
    </row>
    <row r="17" spans="1:11" x14ac:dyDescent="0.2">
      <c r="A17" s="228" t="s">
        <v>128</v>
      </c>
      <c r="B17" s="228"/>
      <c r="C17" s="228"/>
      <c r="D17" s="228"/>
      <c r="E17" s="228"/>
      <c r="F17" s="228"/>
      <c r="G17" s="15">
        <v>134</v>
      </c>
      <c r="H17" s="33">
        <v>1450652399</v>
      </c>
      <c r="I17" s="33">
        <v>354248210</v>
      </c>
      <c r="J17" s="33">
        <v>1483502502</v>
      </c>
      <c r="K17" s="33">
        <v>364649221</v>
      </c>
    </row>
    <row r="18" spans="1:11" x14ac:dyDescent="0.2">
      <c r="A18" s="228" t="s">
        <v>129</v>
      </c>
      <c r="B18" s="228"/>
      <c r="C18" s="228"/>
      <c r="D18" s="228"/>
      <c r="E18" s="228"/>
      <c r="F18" s="228"/>
      <c r="G18" s="15">
        <v>135</v>
      </c>
      <c r="H18" s="33">
        <v>1505820260</v>
      </c>
      <c r="I18" s="33">
        <v>451691541.99999988</v>
      </c>
      <c r="J18" s="33">
        <v>1600585570</v>
      </c>
      <c r="K18" s="33">
        <v>465575847</v>
      </c>
    </row>
    <row r="19" spans="1:11" x14ac:dyDescent="0.2">
      <c r="A19" s="228" t="s">
        <v>130</v>
      </c>
      <c r="B19" s="228"/>
      <c r="C19" s="228"/>
      <c r="D19" s="228"/>
      <c r="E19" s="228"/>
      <c r="F19" s="228"/>
      <c r="G19" s="15">
        <v>136</v>
      </c>
      <c r="H19" s="33">
        <v>0</v>
      </c>
      <c r="I19" s="33">
        <v>0</v>
      </c>
      <c r="J19" s="33">
        <v>0</v>
      </c>
      <c r="K19" s="33"/>
    </row>
    <row r="20" spans="1:11" x14ac:dyDescent="0.2">
      <c r="A20" s="231" t="s">
        <v>131</v>
      </c>
      <c r="B20" s="231"/>
      <c r="C20" s="231"/>
      <c r="D20" s="231"/>
      <c r="E20" s="231"/>
      <c r="F20" s="231"/>
      <c r="G20" s="20">
        <v>137</v>
      </c>
      <c r="H20" s="37">
        <f>SUM(H21:H23)</f>
        <v>755324968</v>
      </c>
      <c r="I20" s="37">
        <f>SUM(I21:I23)</f>
        <v>188934718.00000006</v>
      </c>
      <c r="J20" s="37">
        <f>SUM(J21:J23)</f>
        <v>787198945</v>
      </c>
      <c r="K20" s="37">
        <f>SUM(K21:K23)</f>
        <v>195849249.00000003</v>
      </c>
    </row>
    <row r="21" spans="1:11" x14ac:dyDescent="0.2">
      <c r="A21" s="228" t="s">
        <v>109</v>
      </c>
      <c r="B21" s="228"/>
      <c r="C21" s="228"/>
      <c r="D21" s="228"/>
      <c r="E21" s="228"/>
      <c r="F21" s="228"/>
      <c r="G21" s="15">
        <v>138</v>
      </c>
      <c r="H21" s="33">
        <v>485312676.26868236</v>
      </c>
      <c r="I21" s="33">
        <v>121471700.26868236</v>
      </c>
      <c r="J21" s="33">
        <v>505703332.94925976</v>
      </c>
      <c r="K21" s="33">
        <v>125021773.94925976</v>
      </c>
    </row>
    <row r="22" spans="1:11" x14ac:dyDescent="0.2">
      <c r="A22" s="228" t="s">
        <v>110</v>
      </c>
      <c r="B22" s="228"/>
      <c r="C22" s="228"/>
      <c r="D22" s="228"/>
      <c r="E22" s="228"/>
      <c r="F22" s="228"/>
      <c r="G22" s="15">
        <v>139</v>
      </c>
      <c r="H22" s="33">
        <v>184745258.93468636</v>
      </c>
      <c r="I22" s="33">
        <v>46158908.934686363</v>
      </c>
      <c r="J22" s="33">
        <v>192602267.85912713</v>
      </c>
      <c r="K22" s="33">
        <v>48460905.859127134</v>
      </c>
    </row>
    <row r="23" spans="1:11" x14ac:dyDescent="0.2">
      <c r="A23" s="228" t="s">
        <v>111</v>
      </c>
      <c r="B23" s="228"/>
      <c r="C23" s="228"/>
      <c r="D23" s="228"/>
      <c r="E23" s="228"/>
      <c r="F23" s="228"/>
      <c r="G23" s="15">
        <v>140</v>
      </c>
      <c r="H23" s="33">
        <v>85267032.796631336</v>
      </c>
      <c r="I23" s="33">
        <v>21304108.796631336</v>
      </c>
      <c r="J23" s="33">
        <v>88893344.191613138</v>
      </c>
      <c r="K23" s="33">
        <v>22366569.191613138</v>
      </c>
    </row>
    <row r="24" spans="1:11" x14ac:dyDescent="0.2">
      <c r="A24" s="186" t="s">
        <v>112</v>
      </c>
      <c r="B24" s="186"/>
      <c r="C24" s="186"/>
      <c r="D24" s="186"/>
      <c r="E24" s="186"/>
      <c r="F24" s="186"/>
      <c r="G24" s="15">
        <v>141</v>
      </c>
      <c r="H24" s="33">
        <v>179112969</v>
      </c>
      <c r="I24" s="33">
        <v>68841927</v>
      </c>
      <c r="J24" s="33">
        <v>278305793</v>
      </c>
      <c r="K24" s="33">
        <v>96741867</v>
      </c>
    </row>
    <row r="25" spans="1:11" x14ac:dyDescent="0.2">
      <c r="A25" s="186" t="s">
        <v>113</v>
      </c>
      <c r="B25" s="186"/>
      <c r="C25" s="186"/>
      <c r="D25" s="186"/>
      <c r="E25" s="186"/>
      <c r="F25" s="186"/>
      <c r="G25" s="15">
        <v>142</v>
      </c>
      <c r="H25" s="33">
        <v>838470431</v>
      </c>
      <c r="I25" s="33">
        <v>264402497</v>
      </c>
      <c r="J25" s="33">
        <v>745168043</v>
      </c>
      <c r="K25" s="33">
        <v>232639115</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221281284</v>
      </c>
      <c r="I36" s="33">
        <v>108291124</v>
      </c>
      <c r="J36" s="33">
        <v>129445048</v>
      </c>
      <c r="K36" s="33">
        <v>33062692</v>
      </c>
    </row>
    <row r="37" spans="1:11" x14ac:dyDescent="0.2">
      <c r="A37" s="222" t="s">
        <v>142</v>
      </c>
      <c r="B37" s="222"/>
      <c r="C37" s="222"/>
      <c r="D37" s="222"/>
      <c r="E37" s="222"/>
      <c r="F37" s="222"/>
      <c r="G37" s="20">
        <v>154</v>
      </c>
      <c r="H37" s="37">
        <f>SUM(H38:H47)</f>
        <v>12027494</v>
      </c>
      <c r="I37" s="37">
        <f>SUM(I38:I47)</f>
        <v>204586</v>
      </c>
      <c r="J37" s="37">
        <f>SUM(J38:J47)</f>
        <v>5929535</v>
      </c>
      <c r="K37" s="37">
        <f>SUM(K38:K47)</f>
        <v>171461</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0</v>
      </c>
      <c r="I44" s="33">
        <v>0</v>
      </c>
      <c r="J44" s="33">
        <v>0</v>
      </c>
      <c r="K44" s="33">
        <v>0</v>
      </c>
    </row>
    <row r="45" spans="1:11" x14ac:dyDescent="0.2">
      <c r="A45" s="186" t="s">
        <v>150</v>
      </c>
      <c r="B45" s="186"/>
      <c r="C45" s="186"/>
      <c r="D45" s="186"/>
      <c r="E45" s="186"/>
      <c r="F45" s="186"/>
      <c r="G45" s="15">
        <v>162</v>
      </c>
      <c r="H45" s="33">
        <v>12027494</v>
      </c>
      <c r="I45" s="33">
        <v>204586</v>
      </c>
      <c r="J45" s="33">
        <v>5929535</v>
      </c>
      <c r="K45" s="33">
        <v>171461</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62236795</v>
      </c>
      <c r="I48" s="37">
        <f>SUM(I49:I55)</f>
        <v>18953152</v>
      </c>
      <c r="J48" s="37">
        <f>SUM(J49:J55)</f>
        <v>42955593</v>
      </c>
      <c r="K48" s="37">
        <f>SUM(K49:K55)</f>
        <v>13436356</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57159699</v>
      </c>
      <c r="I51" s="33">
        <v>19742431</v>
      </c>
      <c r="J51" s="33">
        <v>35216548</v>
      </c>
      <c r="K51" s="33">
        <v>10167652</v>
      </c>
    </row>
    <row r="52" spans="1:11" x14ac:dyDescent="0.2">
      <c r="A52" s="223" t="s">
        <v>157</v>
      </c>
      <c r="B52" s="223"/>
      <c r="C52" s="223"/>
      <c r="D52" s="223"/>
      <c r="E52" s="223"/>
      <c r="F52" s="223"/>
      <c r="G52" s="15">
        <v>169</v>
      </c>
      <c r="H52" s="33">
        <v>5077096</v>
      </c>
      <c r="I52" s="33">
        <v>-789279</v>
      </c>
      <c r="J52" s="33">
        <v>7739045</v>
      </c>
      <c r="K52" s="33">
        <v>3268704</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5342651630</v>
      </c>
      <c r="I60" s="37">
        <f t="shared" ref="I60:K60" si="0">I8+I37+I56+I57</f>
        <v>1392456047</v>
      </c>
      <c r="J60" s="37">
        <f t="shared" si="0"/>
        <v>5512333374</v>
      </c>
      <c r="K60" s="37">
        <f t="shared" si="0"/>
        <v>1445559031</v>
      </c>
    </row>
    <row r="61" spans="1:11" x14ac:dyDescent="0.2">
      <c r="A61" s="222" t="s">
        <v>166</v>
      </c>
      <c r="B61" s="222"/>
      <c r="C61" s="222"/>
      <c r="D61" s="222"/>
      <c r="E61" s="222"/>
      <c r="F61" s="222"/>
      <c r="G61" s="20">
        <v>178</v>
      </c>
      <c r="H61" s="37">
        <f>H14+H48+H58+H59</f>
        <v>5026093985</v>
      </c>
      <c r="I61" s="37">
        <f t="shared" ref="I61:K61" si="1">I14+I48+I58+I59</f>
        <v>1458277373</v>
      </c>
      <c r="J61" s="37">
        <f t="shared" si="1"/>
        <v>5048926759</v>
      </c>
      <c r="K61" s="37">
        <f t="shared" si="1"/>
        <v>1411253425</v>
      </c>
    </row>
    <row r="62" spans="1:11" x14ac:dyDescent="0.2">
      <c r="A62" s="222" t="s">
        <v>167</v>
      </c>
      <c r="B62" s="222"/>
      <c r="C62" s="222"/>
      <c r="D62" s="222"/>
      <c r="E62" s="222"/>
      <c r="F62" s="222"/>
      <c r="G62" s="20">
        <v>179</v>
      </c>
      <c r="H62" s="37">
        <f>H60-H61</f>
        <v>316557645</v>
      </c>
      <c r="I62" s="37">
        <f t="shared" ref="I62:K62" si="2">I60-I61</f>
        <v>-65821326</v>
      </c>
      <c r="J62" s="37">
        <f t="shared" si="2"/>
        <v>463406615</v>
      </c>
      <c r="K62" s="37">
        <f t="shared" si="2"/>
        <v>34305606</v>
      </c>
    </row>
    <row r="63" spans="1:11" x14ac:dyDescent="0.2">
      <c r="A63" s="209" t="s">
        <v>168</v>
      </c>
      <c r="B63" s="209"/>
      <c r="C63" s="209"/>
      <c r="D63" s="209"/>
      <c r="E63" s="209"/>
      <c r="F63" s="209"/>
      <c r="G63" s="20">
        <v>180</v>
      </c>
      <c r="H63" s="37">
        <f>+IF((H60-H61)&gt;0,(H60-H61),0)</f>
        <v>316557645</v>
      </c>
      <c r="I63" s="37">
        <f t="shared" ref="I63:K63" si="3">+IF((I60-I61)&gt;0,(I60-I61),0)</f>
        <v>0</v>
      </c>
      <c r="J63" s="37">
        <f t="shared" si="3"/>
        <v>463406615</v>
      </c>
      <c r="K63" s="37">
        <f t="shared" si="3"/>
        <v>34305606</v>
      </c>
    </row>
    <row r="64" spans="1:11" x14ac:dyDescent="0.2">
      <c r="A64" s="209" t="s">
        <v>169</v>
      </c>
      <c r="B64" s="209"/>
      <c r="C64" s="209"/>
      <c r="D64" s="209"/>
      <c r="E64" s="209"/>
      <c r="F64" s="209"/>
      <c r="G64" s="20">
        <v>181</v>
      </c>
      <c r="H64" s="37">
        <f>+IF((H60-H61)&lt;0,(H60-H61),0)</f>
        <v>0</v>
      </c>
      <c r="I64" s="37">
        <f t="shared" ref="I64:K64" si="4">+IF((I60-I61)&lt;0,(I60-I61),0)</f>
        <v>-65821326</v>
      </c>
      <c r="J64" s="37">
        <f t="shared" si="4"/>
        <v>0</v>
      </c>
      <c r="K64" s="37">
        <f t="shared" si="4"/>
        <v>0</v>
      </c>
    </row>
    <row r="65" spans="1:11" x14ac:dyDescent="0.2">
      <c r="A65" s="224" t="s">
        <v>115</v>
      </c>
      <c r="B65" s="224"/>
      <c r="C65" s="224"/>
      <c r="D65" s="224"/>
      <c r="E65" s="224"/>
      <c r="F65" s="224"/>
      <c r="G65" s="15">
        <v>182</v>
      </c>
      <c r="H65" s="33">
        <v>72339682</v>
      </c>
      <c r="I65" s="33">
        <v>9519472</v>
      </c>
      <c r="J65" s="33">
        <v>73039280</v>
      </c>
      <c r="K65" s="33">
        <v>-1901770</v>
      </c>
    </row>
    <row r="66" spans="1:11" x14ac:dyDescent="0.2">
      <c r="A66" s="222" t="s">
        <v>170</v>
      </c>
      <c r="B66" s="222"/>
      <c r="C66" s="222"/>
      <c r="D66" s="222"/>
      <c r="E66" s="222"/>
      <c r="F66" s="222"/>
      <c r="G66" s="20">
        <v>183</v>
      </c>
      <c r="H66" s="37">
        <f>H62-H65</f>
        <v>244217963</v>
      </c>
      <c r="I66" s="37">
        <f t="shared" ref="I66:K66" si="5">I62-I65</f>
        <v>-75340798</v>
      </c>
      <c r="J66" s="37">
        <f t="shared" si="5"/>
        <v>390367335</v>
      </c>
      <c r="K66" s="37">
        <f t="shared" si="5"/>
        <v>36207376</v>
      </c>
    </row>
    <row r="67" spans="1:11" x14ac:dyDescent="0.2">
      <c r="A67" s="209" t="s">
        <v>171</v>
      </c>
      <c r="B67" s="209"/>
      <c r="C67" s="209"/>
      <c r="D67" s="209"/>
      <c r="E67" s="209"/>
      <c r="F67" s="209"/>
      <c r="G67" s="20">
        <v>184</v>
      </c>
      <c r="H67" s="37">
        <f>+IF((H62-H65)&gt;0,(H62-H65),0)</f>
        <v>244217963</v>
      </c>
      <c r="I67" s="37">
        <f t="shared" ref="I67:K67" si="6">+IF((I62-I65)&gt;0,(I62-I65),0)</f>
        <v>0</v>
      </c>
      <c r="J67" s="37">
        <f t="shared" si="6"/>
        <v>390367335</v>
      </c>
      <c r="K67" s="37">
        <f t="shared" si="6"/>
        <v>36207376</v>
      </c>
    </row>
    <row r="68" spans="1:11" x14ac:dyDescent="0.2">
      <c r="A68" s="209" t="s">
        <v>172</v>
      </c>
      <c r="B68" s="209"/>
      <c r="C68" s="209"/>
      <c r="D68" s="209"/>
      <c r="E68" s="209"/>
      <c r="F68" s="209"/>
      <c r="G68" s="20">
        <v>185</v>
      </c>
      <c r="H68" s="37">
        <f>+IF((H62-H65)&lt;0,(H62-H65),0)</f>
        <v>0</v>
      </c>
      <c r="I68" s="37">
        <f t="shared" ref="I68:K68" si="7">+IF((I62-I65)&lt;0,(I62-I65),0)</f>
        <v>-75340798</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244217963</v>
      </c>
      <c r="I85" s="39">
        <f>I86+I87</f>
        <v>-75340798</v>
      </c>
      <c r="J85" s="39">
        <f>J86+J87</f>
        <v>390367335</v>
      </c>
      <c r="K85" s="39">
        <f>K86+K87</f>
        <v>36207376</v>
      </c>
    </row>
    <row r="86" spans="1:11" x14ac:dyDescent="0.2">
      <c r="A86" s="208" t="s">
        <v>189</v>
      </c>
      <c r="B86" s="208"/>
      <c r="C86" s="208"/>
      <c r="D86" s="208"/>
      <c r="E86" s="208"/>
      <c r="F86" s="208"/>
      <c r="G86" s="15">
        <v>200</v>
      </c>
      <c r="H86" s="40">
        <v>243970033</v>
      </c>
      <c r="I86" s="33">
        <v>-75314426</v>
      </c>
      <c r="J86" s="40">
        <v>388880497</v>
      </c>
      <c r="K86" s="33">
        <v>35361362</v>
      </c>
    </row>
    <row r="87" spans="1:11" x14ac:dyDescent="0.2">
      <c r="A87" s="208" t="s">
        <v>190</v>
      </c>
      <c r="B87" s="208"/>
      <c r="C87" s="208"/>
      <c r="D87" s="208"/>
      <c r="E87" s="208"/>
      <c r="F87" s="208"/>
      <c r="G87" s="15">
        <v>201</v>
      </c>
      <c r="H87" s="40">
        <v>247930</v>
      </c>
      <c r="I87" s="33">
        <v>-26372</v>
      </c>
      <c r="J87" s="40">
        <v>1486838</v>
      </c>
      <c r="K87" s="33">
        <v>846014</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f>+H66</f>
        <v>244217963</v>
      </c>
      <c r="I89" s="33">
        <v>-75340798</v>
      </c>
      <c r="J89" s="40">
        <f>+J66</f>
        <v>390367335</v>
      </c>
      <c r="K89" s="40">
        <f>+K66</f>
        <v>36207376</v>
      </c>
    </row>
    <row r="90" spans="1:11" ht="24" customHeight="1" x14ac:dyDescent="0.2">
      <c r="A90" s="232" t="s">
        <v>192</v>
      </c>
      <c r="B90" s="232"/>
      <c r="C90" s="232"/>
      <c r="D90" s="232"/>
      <c r="E90" s="232"/>
      <c r="F90" s="232"/>
      <c r="G90" s="20">
        <v>203</v>
      </c>
      <c r="H90" s="39">
        <f>SUM(H91:H98)</f>
        <v>-30561956.000000268</v>
      </c>
      <c r="I90" s="39">
        <f>SUM(I91:I98)</f>
        <v>-9712950.0000002682</v>
      </c>
      <c r="J90" s="39">
        <f>SUM(J91:J98)</f>
        <v>3324436.0000000009</v>
      </c>
      <c r="K90" s="39">
        <f>SUM(K91:K98)</f>
        <v>440412.00000000093</v>
      </c>
    </row>
    <row r="91" spans="1:11" x14ac:dyDescent="0.2">
      <c r="A91" s="223" t="s">
        <v>193</v>
      </c>
      <c r="B91" s="223"/>
      <c r="C91" s="223"/>
      <c r="D91" s="223"/>
      <c r="E91" s="223"/>
      <c r="F91" s="223"/>
      <c r="G91" s="15">
        <v>204</v>
      </c>
      <c r="H91" s="40">
        <v>-33080871.000000268</v>
      </c>
      <c r="I91" s="33">
        <v>-6497549.0000002682</v>
      </c>
      <c r="J91" s="40">
        <v>8675180</v>
      </c>
      <c r="K91" s="33">
        <v>5795222</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2422390</v>
      </c>
      <c r="I94" s="33">
        <v>-3311926</v>
      </c>
      <c r="J94" s="40">
        <v>-2965121</v>
      </c>
      <c r="K94" s="33">
        <v>-2969187</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96525</v>
      </c>
      <c r="I97" s="33">
        <v>96525</v>
      </c>
      <c r="J97" s="40">
        <v>-2385622.9999999991</v>
      </c>
      <c r="K97" s="33">
        <v>-2385622.9999999991</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-30561956.000000268</v>
      </c>
      <c r="I100" s="39">
        <f>I90-I99</f>
        <v>-9712950.0000002682</v>
      </c>
      <c r="J100" s="39">
        <f>J90-J99</f>
        <v>3324436.0000000009</v>
      </c>
      <c r="K100" s="39">
        <f>K90-K99</f>
        <v>440412.00000000093</v>
      </c>
    </row>
    <row r="101" spans="1:11" x14ac:dyDescent="0.2">
      <c r="A101" s="232" t="s">
        <v>202</v>
      </c>
      <c r="B101" s="232"/>
      <c r="C101" s="232"/>
      <c r="D101" s="232"/>
      <c r="E101" s="232"/>
      <c r="F101" s="232"/>
      <c r="G101" s="20">
        <v>214</v>
      </c>
      <c r="H101" s="39">
        <f>H89+H100</f>
        <v>213656006.99999973</v>
      </c>
      <c r="I101" s="39">
        <f>I89+I100</f>
        <v>-85053748.000000268</v>
      </c>
      <c r="J101" s="39">
        <f>J89+J100</f>
        <v>393691771</v>
      </c>
      <c r="K101" s="39">
        <f>K89+K100</f>
        <v>36647788</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213656006.99999973</v>
      </c>
      <c r="I103" s="39">
        <f>I104+I105</f>
        <v>-85053748.000000268</v>
      </c>
      <c r="J103" s="39">
        <f>J104+J105</f>
        <v>393691771</v>
      </c>
      <c r="K103" s="39">
        <f>K104+K105</f>
        <v>36647788</v>
      </c>
    </row>
    <row r="104" spans="1:11" x14ac:dyDescent="0.2">
      <c r="A104" s="208" t="s">
        <v>117</v>
      </c>
      <c r="B104" s="208"/>
      <c r="C104" s="208"/>
      <c r="D104" s="208"/>
      <c r="E104" s="208"/>
      <c r="F104" s="208"/>
      <c r="G104" s="15">
        <v>216</v>
      </c>
      <c r="H104" s="40">
        <v>213449727.99999973</v>
      </c>
      <c r="I104" s="33">
        <v>-85029172.000000268</v>
      </c>
      <c r="J104" s="40">
        <v>392198095</v>
      </c>
      <c r="K104" s="33">
        <v>35786718</v>
      </c>
    </row>
    <row r="105" spans="1:11" x14ac:dyDescent="0.2">
      <c r="A105" s="208" t="s">
        <v>205</v>
      </c>
      <c r="B105" s="208"/>
      <c r="C105" s="208"/>
      <c r="D105" s="208"/>
      <c r="E105" s="208"/>
      <c r="F105" s="208"/>
      <c r="G105" s="15">
        <v>217</v>
      </c>
      <c r="H105" s="40">
        <v>206279</v>
      </c>
      <c r="I105" s="33">
        <v>-24576.000000000029</v>
      </c>
      <c r="J105" s="40">
        <v>1493676</v>
      </c>
      <c r="K105" s="33">
        <v>861070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453</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432</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f>+RDG!H62</f>
        <v>316557645</v>
      </c>
      <c r="I8" s="43">
        <f>+RDG!J62</f>
        <v>463406615</v>
      </c>
    </row>
    <row r="9" spans="1:9" ht="12.75" customHeight="1" x14ac:dyDescent="0.2">
      <c r="A9" s="247" t="s">
        <v>211</v>
      </c>
      <c r="B9" s="248"/>
      <c r="C9" s="248"/>
      <c r="D9" s="248"/>
      <c r="E9" s="248"/>
      <c r="F9" s="249"/>
      <c r="G9" s="25">
        <v>2</v>
      </c>
      <c r="H9" s="44">
        <f>H10+H11+H12+H13+H14+H15+H16+H17</f>
        <v>307098873</v>
      </c>
      <c r="I9" s="44">
        <f>I10+I11+I12+I13+I14+I15+I16+I17</f>
        <v>306136427</v>
      </c>
    </row>
    <row r="10" spans="1:9" ht="12.75" customHeight="1" x14ac:dyDescent="0.2">
      <c r="A10" s="239" t="s">
        <v>212</v>
      </c>
      <c r="B10" s="240"/>
      <c r="C10" s="240"/>
      <c r="D10" s="240"/>
      <c r="E10" s="240"/>
      <c r="F10" s="241"/>
      <c r="G10" s="26">
        <v>3</v>
      </c>
      <c r="H10" s="45">
        <v>179112969</v>
      </c>
      <c r="I10" s="45">
        <v>278305793</v>
      </c>
    </row>
    <row r="11" spans="1:9" ht="22.15" customHeight="1" x14ac:dyDescent="0.2">
      <c r="A11" s="239" t="s">
        <v>213</v>
      </c>
      <c r="B11" s="240"/>
      <c r="C11" s="240"/>
      <c r="D11" s="240"/>
      <c r="E11" s="240"/>
      <c r="F11" s="241"/>
      <c r="G11" s="26">
        <v>4</v>
      </c>
      <c r="H11" s="45">
        <v>-290636</v>
      </c>
      <c r="I11" s="45">
        <v>-611637</v>
      </c>
    </row>
    <row r="12" spans="1:9" ht="23.45" customHeight="1" x14ac:dyDescent="0.2">
      <c r="A12" s="239" t="s">
        <v>214</v>
      </c>
      <c r="B12" s="240"/>
      <c r="C12" s="240"/>
      <c r="D12" s="240"/>
      <c r="E12" s="240"/>
      <c r="F12" s="241"/>
      <c r="G12" s="26">
        <v>5</v>
      </c>
      <c r="H12" s="45">
        <v>6330392</v>
      </c>
      <c r="I12" s="45">
        <v>-62649222</v>
      </c>
    </row>
    <row r="13" spans="1:9" ht="12.75" customHeight="1" x14ac:dyDescent="0.2">
      <c r="A13" s="239" t="s">
        <v>215</v>
      </c>
      <c r="B13" s="240"/>
      <c r="C13" s="240"/>
      <c r="D13" s="240"/>
      <c r="E13" s="240"/>
      <c r="F13" s="241"/>
      <c r="G13" s="26">
        <v>6</v>
      </c>
      <c r="H13" s="45">
        <v>-1728874</v>
      </c>
      <c r="I13" s="45">
        <v>-1027896</v>
      </c>
    </row>
    <row r="14" spans="1:9" ht="12.75" customHeight="1" x14ac:dyDescent="0.2">
      <c r="A14" s="239" t="s">
        <v>216</v>
      </c>
      <c r="B14" s="240"/>
      <c r="C14" s="240"/>
      <c r="D14" s="240"/>
      <c r="E14" s="240"/>
      <c r="F14" s="241"/>
      <c r="G14" s="26">
        <v>7</v>
      </c>
      <c r="H14" s="45">
        <v>57159699</v>
      </c>
      <c r="I14" s="45">
        <v>35216548</v>
      </c>
    </row>
    <row r="15" spans="1:9" ht="12.75" customHeight="1" x14ac:dyDescent="0.2">
      <c r="A15" s="239" t="s">
        <v>217</v>
      </c>
      <c r="B15" s="240"/>
      <c r="C15" s="240"/>
      <c r="D15" s="240"/>
      <c r="E15" s="240"/>
      <c r="F15" s="241"/>
      <c r="G15" s="26">
        <v>8</v>
      </c>
      <c r="H15" s="45">
        <v>20625208</v>
      </c>
      <c r="I15" s="45">
        <v>15414993</v>
      </c>
    </row>
    <row r="16" spans="1:9" ht="12.75" customHeight="1" x14ac:dyDescent="0.2">
      <c r="A16" s="239" t="s">
        <v>218</v>
      </c>
      <c r="B16" s="240"/>
      <c r="C16" s="240"/>
      <c r="D16" s="240"/>
      <c r="E16" s="240"/>
      <c r="F16" s="241"/>
      <c r="G16" s="26">
        <v>9</v>
      </c>
      <c r="H16" s="45">
        <v>132216.00000000035</v>
      </c>
      <c r="I16" s="45">
        <v>942861.00000000012</v>
      </c>
    </row>
    <row r="17" spans="1:9" ht="25.15" customHeight="1" x14ac:dyDescent="0.2">
      <c r="A17" s="239" t="s">
        <v>219</v>
      </c>
      <c r="B17" s="240"/>
      <c r="C17" s="240"/>
      <c r="D17" s="240"/>
      <c r="E17" s="240"/>
      <c r="F17" s="241"/>
      <c r="G17" s="26">
        <v>10</v>
      </c>
      <c r="H17" s="45">
        <v>45757899</v>
      </c>
      <c r="I17" s="45">
        <v>40544986.999999985</v>
      </c>
    </row>
    <row r="18" spans="1:9" ht="28.15" customHeight="1" x14ac:dyDescent="0.2">
      <c r="A18" s="244" t="s">
        <v>390</v>
      </c>
      <c r="B18" s="245"/>
      <c r="C18" s="245"/>
      <c r="D18" s="245"/>
      <c r="E18" s="245"/>
      <c r="F18" s="246"/>
      <c r="G18" s="25">
        <v>11</v>
      </c>
      <c r="H18" s="44">
        <f>H8+H9</f>
        <v>623656518</v>
      </c>
      <c r="I18" s="44">
        <f>I8+I9</f>
        <v>769543042</v>
      </c>
    </row>
    <row r="19" spans="1:9" ht="12.75" customHeight="1" x14ac:dyDescent="0.2">
      <c r="A19" s="247" t="s">
        <v>220</v>
      </c>
      <c r="B19" s="248"/>
      <c r="C19" s="248"/>
      <c r="D19" s="248"/>
      <c r="E19" s="248"/>
      <c r="F19" s="249"/>
      <c r="G19" s="25">
        <v>12</v>
      </c>
      <c r="H19" s="44">
        <f>H20+H21+H22+H23</f>
        <v>10167384</v>
      </c>
      <c r="I19" s="44">
        <f>I20+I21+I22+I23</f>
        <v>-72011365</v>
      </c>
    </row>
    <row r="20" spans="1:9" ht="12.75" customHeight="1" x14ac:dyDescent="0.2">
      <c r="A20" s="239" t="s">
        <v>221</v>
      </c>
      <c r="B20" s="240"/>
      <c r="C20" s="240"/>
      <c r="D20" s="240"/>
      <c r="E20" s="240"/>
      <c r="F20" s="241"/>
      <c r="G20" s="26">
        <v>13</v>
      </c>
      <c r="H20" s="45">
        <v>-65515488</v>
      </c>
      <c r="I20" s="45">
        <v>68173384</v>
      </c>
    </row>
    <row r="21" spans="1:9" ht="12.75" customHeight="1" x14ac:dyDescent="0.2">
      <c r="A21" s="239" t="s">
        <v>222</v>
      </c>
      <c r="B21" s="240"/>
      <c r="C21" s="240"/>
      <c r="D21" s="240"/>
      <c r="E21" s="240"/>
      <c r="F21" s="241"/>
      <c r="G21" s="26">
        <v>14</v>
      </c>
      <c r="H21" s="45">
        <v>61694913</v>
      </c>
      <c r="I21" s="45">
        <v>-80855667</v>
      </c>
    </row>
    <row r="22" spans="1:9" ht="12.75" customHeight="1" x14ac:dyDescent="0.2">
      <c r="A22" s="239" t="s">
        <v>223</v>
      </c>
      <c r="B22" s="240"/>
      <c r="C22" s="240"/>
      <c r="D22" s="240"/>
      <c r="E22" s="240"/>
      <c r="F22" s="241"/>
      <c r="G22" s="26">
        <v>15</v>
      </c>
      <c r="H22" s="45">
        <v>13987959</v>
      </c>
      <c r="I22" s="45">
        <v>-59329082</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633823902</v>
      </c>
      <c r="I24" s="44">
        <f>I18+I19</f>
        <v>697531677</v>
      </c>
    </row>
    <row r="25" spans="1:9" ht="12.75" customHeight="1" x14ac:dyDescent="0.2">
      <c r="A25" s="235" t="s">
        <v>226</v>
      </c>
      <c r="B25" s="236"/>
      <c r="C25" s="236"/>
      <c r="D25" s="236"/>
      <c r="E25" s="236"/>
      <c r="F25" s="237"/>
      <c r="G25" s="26">
        <v>18</v>
      </c>
      <c r="H25" s="45">
        <v>-61860000</v>
      </c>
      <c r="I25" s="45">
        <v>-33445244</v>
      </c>
    </row>
    <row r="26" spans="1:9" ht="12.75" customHeight="1" x14ac:dyDescent="0.2">
      <c r="A26" s="235" t="s">
        <v>227</v>
      </c>
      <c r="B26" s="236"/>
      <c r="C26" s="236"/>
      <c r="D26" s="236"/>
      <c r="E26" s="236"/>
      <c r="F26" s="237"/>
      <c r="G26" s="26">
        <v>19</v>
      </c>
      <c r="H26" s="45">
        <v>-109858000</v>
      </c>
      <c r="I26" s="45">
        <v>-77704953</v>
      </c>
    </row>
    <row r="27" spans="1:9" ht="25.9" customHeight="1" x14ac:dyDescent="0.2">
      <c r="A27" s="262" t="s">
        <v>228</v>
      </c>
      <c r="B27" s="263"/>
      <c r="C27" s="263"/>
      <c r="D27" s="263"/>
      <c r="E27" s="263"/>
      <c r="F27" s="264"/>
      <c r="G27" s="27">
        <v>20</v>
      </c>
      <c r="H27" s="46">
        <f>H24+H25+H26</f>
        <v>462105902</v>
      </c>
      <c r="I27" s="46">
        <f>I24+I25+I26</f>
        <v>586381480</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1510664</v>
      </c>
      <c r="I29" s="47">
        <v>3517893</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1603874</v>
      </c>
      <c r="I31" s="48">
        <v>1027896</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34614000</v>
      </c>
      <c r="I33" s="48">
        <v>6637060</v>
      </c>
    </row>
    <row r="34" spans="1:9" ht="12.75" customHeight="1" x14ac:dyDescent="0.2">
      <c r="A34" s="235" t="s">
        <v>235</v>
      </c>
      <c r="B34" s="236"/>
      <c r="C34" s="236"/>
      <c r="D34" s="236"/>
      <c r="E34" s="236"/>
      <c r="F34" s="237"/>
      <c r="G34" s="26">
        <v>26</v>
      </c>
      <c r="H34" s="48">
        <v>59511000</v>
      </c>
      <c r="I34" s="48">
        <v>149830681</v>
      </c>
    </row>
    <row r="35" spans="1:9" ht="26.45" customHeight="1" x14ac:dyDescent="0.2">
      <c r="A35" s="244" t="s">
        <v>236</v>
      </c>
      <c r="B35" s="245"/>
      <c r="C35" s="245"/>
      <c r="D35" s="245"/>
      <c r="E35" s="245"/>
      <c r="F35" s="246"/>
      <c r="G35" s="25">
        <v>27</v>
      </c>
      <c r="H35" s="49">
        <f>H29+H30+H31+H32+H33+H34</f>
        <v>97239538</v>
      </c>
      <c r="I35" s="49">
        <f>I29+I30+I31+I32+I33+I34</f>
        <v>161013530</v>
      </c>
    </row>
    <row r="36" spans="1:9" ht="22.9" customHeight="1" x14ac:dyDescent="0.2">
      <c r="A36" s="235" t="s">
        <v>237</v>
      </c>
      <c r="B36" s="236"/>
      <c r="C36" s="236"/>
      <c r="D36" s="236"/>
      <c r="E36" s="236"/>
      <c r="F36" s="237"/>
      <c r="G36" s="26">
        <v>28</v>
      </c>
      <c r="H36" s="48">
        <v>-140625632</v>
      </c>
      <c r="I36" s="48">
        <v>-225247533</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-43154000</v>
      </c>
      <c r="I38" s="48">
        <v>-2790060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-183779632</v>
      </c>
      <c r="I41" s="49">
        <f>I36+I37+I38+I39+I40</f>
        <v>-228037593</v>
      </c>
    </row>
    <row r="42" spans="1:9" ht="29.45" customHeight="1" x14ac:dyDescent="0.2">
      <c r="A42" s="262" t="s">
        <v>243</v>
      </c>
      <c r="B42" s="263"/>
      <c r="C42" s="263"/>
      <c r="D42" s="263"/>
      <c r="E42" s="263"/>
      <c r="F42" s="264"/>
      <c r="G42" s="27">
        <v>34</v>
      </c>
      <c r="H42" s="50">
        <f>H35+H41</f>
        <v>-86540094</v>
      </c>
      <c r="I42" s="50">
        <f>I35+I41</f>
        <v>-67024063</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80065000</v>
      </c>
      <c r="I46" s="48">
        <v>273362427</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80065000</v>
      </c>
      <c r="I48" s="49">
        <f>I44+I45+I46+I47</f>
        <v>273362427</v>
      </c>
    </row>
    <row r="49" spans="1:9" ht="24.6" customHeight="1" x14ac:dyDescent="0.2">
      <c r="A49" s="235" t="s">
        <v>389</v>
      </c>
      <c r="B49" s="236"/>
      <c r="C49" s="236"/>
      <c r="D49" s="236"/>
      <c r="E49" s="236"/>
      <c r="F49" s="237"/>
      <c r="G49" s="26">
        <v>40</v>
      </c>
      <c r="H49" s="48">
        <v>-466297854</v>
      </c>
      <c r="I49" s="48">
        <v>-623252298</v>
      </c>
    </row>
    <row r="50" spans="1:9" ht="12.75" customHeight="1" x14ac:dyDescent="0.2">
      <c r="A50" s="235" t="s">
        <v>250</v>
      </c>
      <c r="B50" s="236"/>
      <c r="C50" s="236"/>
      <c r="D50" s="236"/>
      <c r="E50" s="236"/>
      <c r="F50" s="237"/>
      <c r="G50" s="26">
        <v>41</v>
      </c>
      <c r="H50" s="48">
        <v>-66674000</v>
      </c>
      <c r="I50" s="48">
        <v>-106599036</v>
      </c>
    </row>
    <row r="51" spans="1:9" ht="12.75" customHeight="1" x14ac:dyDescent="0.2">
      <c r="A51" s="235" t="s">
        <v>251</v>
      </c>
      <c r="B51" s="236"/>
      <c r="C51" s="236"/>
      <c r="D51" s="236"/>
      <c r="E51" s="236"/>
      <c r="F51" s="237"/>
      <c r="G51" s="26">
        <v>42</v>
      </c>
      <c r="H51" s="48">
        <v>0</v>
      </c>
      <c r="I51" s="48">
        <v>-79993597</v>
      </c>
    </row>
    <row r="52" spans="1:9" ht="22.9" customHeight="1" x14ac:dyDescent="0.2">
      <c r="A52" s="235" t="s">
        <v>252</v>
      </c>
      <c r="B52" s="236"/>
      <c r="C52" s="236"/>
      <c r="D52" s="236"/>
      <c r="E52" s="236"/>
      <c r="F52" s="237"/>
      <c r="G52" s="26">
        <v>43</v>
      </c>
      <c r="H52" s="48">
        <v>-2164053</v>
      </c>
      <c r="I52" s="48">
        <v>-13424031</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-535135907</v>
      </c>
      <c r="I54" s="49">
        <f>I49+I50+I51+I52+I53</f>
        <v>-823268962</v>
      </c>
    </row>
    <row r="55" spans="1:9" ht="29.45" customHeight="1" x14ac:dyDescent="0.2">
      <c r="A55" s="265" t="s">
        <v>255</v>
      </c>
      <c r="B55" s="266"/>
      <c r="C55" s="266"/>
      <c r="D55" s="266"/>
      <c r="E55" s="266"/>
      <c r="F55" s="267"/>
      <c r="G55" s="25">
        <v>46</v>
      </c>
      <c r="H55" s="49">
        <f>H48+H54</f>
        <v>-455070907</v>
      </c>
      <c r="I55" s="49">
        <f>I48+I54</f>
        <v>-549906535</v>
      </c>
    </row>
    <row r="56" spans="1:9" x14ac:dyDescent="0.2">
      <c r="A56" s="235" t="s">
        <v>256</v>
      </c>
      <c r="B56" s="236"/>
      <c r="C56" s="236"/>
      <c r="D56" s="236"/>
      <c r="E56" s="236"/>
      <c r="F56" s="237"/>
      <c r="G56" s="26">
        <v>47</v>
      </c>
      <c r="H56" s="48">
        <v>-3910463</v>
      </c>
      <c r="I56" s="48">
        <v>1411000</v>
      </c>
    </row>
    <row r="57" spans="1:9" ht="26.45" customHeight="1" x14ac:dyDescent="0.2">
      <c r="A57" s="265" t="s">
        <v>257</v>
      </c>
      <c r="B57" s="266"/>
      <c r="C57" s="266"/>
      <c r="D57" s="266"/>
      <c r="E57" s="266"/>
      <c r="F57" s="267"/>
      <c r="G57" s="25">
        <v>48</v>
      </c>
      <c r="H57" s="49">
        <f>H27+H42+H55+H56</f>
        <v>-83415562</v>
      </c>
      <c r="I57" s="49">
        <f>I27+I42+I55+I56</f>
        <v>-29138118</v>
      </c>
    </row>
    <row r="58" spans="1:9" x14ac:dyDescent="0.2">
      <c r="A58" s="268" t="s">
        <v>258</v>
      </c>
      <c r="B58" s="269"/>
      <c r="C58" s="269"/>
      <c r="D58" s="269"/>
      <c r="E58" s="269"/>
      <c r="F58" s="270"/>
      <c r="G58" s="26">
        <v>49</v>
      </c>
      <c r="H58" s="48">
        <v>497079018</v>
      </c>
      <c r="I58" s="48">
        <v>413663456</v>
      </c>
    </row>
    <row r="59" spans="1:9" ht="31.15" customHeight="1" x14ac:dyDescent="0.2">
      <c r="A59" s="262" t="s">
        <v>259</v>
      </c>
      <c r="B59" s="263"/>
      <c r="C59" s="263"/>
      <c r="D59" s="263"/>
      <c r="E59" s="263"/>
      <c r="F59" s="264"/>
      <c r="G59" s="27">
        <v>50</v>
      </c>
      <c r="H59" s="50">
        <f>H57+H58</f>
        <v>413663456</v>
      </c>
      <c r="I59" s="50">
        <f>I57+I58</f>
        <v>384525338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90" zoomScaleNormal="100" zoomScaleSheetLayoutView="9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453</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432</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2">
        <v>0</v>
      </c>
      <c r="I22" s="52">
        <v>0</v>
      </c>
    </row>
    <row r="23" spans="1:9" x14ac:dyDescent="0.2">
      <c r="A23" s="272" t="s">
        <v>275</v>
      </c>
      <c r="B23" s="272"/>
      <c r="C23" s="272"/>
      <c r="D23" s="272"/>
      <c r="E23" s="272"/>
      <c r="F23" s="272"/>
      <c r="G23" s="30">
        <v>15</v>
      </c>
      <c r="H23" s="52">
        <v>0</v>
      </c>
      <c r="I23" s="52">
        <v>0</v>
      </c>
    </row>
    <row r="24" spans="1:9" x14ac:dyDescent="0.2">
      <c r="A24" s="272" t="s">
        <v>276</v>
      </c>
      <c r="B24" s="272"/>
      <c r="C24" s="272"/>
      <c r="D24" s="272"/>
      <c r="E24" s="272"/>
      <c r="F24" s="272"/>
      <c r="G24" s="30">
        <v>16</v>
      </c>
      <c r="H24" s="52">
        <v>0</v>
      </c>
      <c r="I24" s="52">
        <v>0</v>
      </c>
    </row>
    <row r="25" spans="1:9" x14ac:dyDescent="0.2">
      <c r="A25" s="272" t="s">
        <v>277</v>
      </c>
      <c r="B25" s="272"/>
      <c r="C25" s="272"/>
      <c r="D25" s="272"/>
      <c r="E25" s="272"/>
      <c r="F25" s="272"/>
      <c r="G25" s="30">
        <v>17</v>
      </c>
      <c r="H25" s="52">
        <v>0</v>
      </c>
      <c r="I25" s="52">
        <v>0</v>
      </c>
    </row>
    <row r="26" spans="1:9" x14ac:dyDescent="0.2">
      <c r="A26" s="272" t="s">
        <v>278</v>
      </c>
      <c r="B26" s="272"/>
      <c r="C26" s="272"/>
      <c r="D26" s="272"/>
      <c r="E26" s="272"/>
      <c r="F26" s="272"/>
      <c r="G26" s="30">
        <v>18</v>
      </c>
      <c r="H26" s="52">
        <v>0</v>
      </c>
      <c r="I26" s="52">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2">
        <v>0</v>
      </c>
      <c r="I37" s="52">
        <v>0</v>
      </c>
    </row>
    <row r="38" spans="1:9" x14ac:dyDescent="0.2">
      <c r="A38" s="271" t="s">
        <v>289</v>
      </c>
      <c r="B38" s="271"/>
      <c r="C38" s="271"/>
      <c r="D38" s="271"/>
      <c r="E38" s="271"/>
      <c r="F38" s="271"/>
      <c r="G38" s="30">
        <v>29</v>
      </c>
      <c r="H38" s="52">
        <v>0</v>
      </c>
      <c r="I38" s="52">
        <v>0</v>
      </c>
    </row>
    <row r="39" spans="1:9" x14ac:dyDescent="0.2">
      <c r="A39" s="271" t="s">
        <v>290</v>
      </c>
      <c r="B39" s="271"/>
      <c r="C39" s="271"/>
      <c r="D39" s="271"/>
      <c r="E39" s="271"/>
      <c r="F39" s="271"/>
      <c r="G39" s="30">
        <v>30</v>
      </c>
      <c r="H39" s="52">
        <v>0</v>
      </c>
      <c r="I39" s="52">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C1"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43466</v>
      </c>
      <c r="F2" s="4" t="s">
        <v>0</v>
      </c>
      <c r="G2" s="10">
        <v>43830</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133372000</v>
      </c>
      <c r="I7" s="65">
        <v>881088632</v>
      </c>
      <c r="J7" s="65">
        <v>0</v>
      </c>
      <c r="K7" s="65">
        <v>0</v>
      </c>
      <c r="L7" s="65">
        <v>1513588</v>
      </c>
      <c r="M7" s="65">
        <v>0</v>
      </c>
      <c r="N7" s="65">
        <v>-47977134</v>
      </c>
      <c r="O7" s="65">
        <v>0</v>
      </c>
      <c r="P7" s="65">
        <v>0</v>
      </c>
      <c r="Q7" s="65">
        <v>-4450253</v>
      </c>
      <c r="R7" s="65">
        <v>0</v>
      </c>
      <c r="S7" s="65">
        <v>1010138292</v>
      </c>
      <c r="T7" s="65">
        <v>275528936</v>
      </c>
      <c r="U7" s="66">
        <f>H7+I7+J7+K7-L7+M7+N7+O7+P7+Q7+R7+S7+T7</f>
        <v>2246186885</v>
      </c>
      <c r="V7" s="65">
        <v>3662656</v>
      </c>
      <c r="W7" s="66">
        <f>U7+V7</f>
        <v>2249849541</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133372000</v>
      </c>
      <c r="I10" s="66">
        <f t="shared" ref="I10:W10" si="2">I7+I8+I9</f>
        <v>881088632</v>
      </c>
      <c r="J10" s="66">
        <f t="shared" si="2"/>
        <v>0</v>
      </c>
      <c r="K10" s="66">
        <f>K7+K8+K9</f>
        <v>0</v>
      </c>
      <c r="L10" s="66">
        <f t="shared" si="2"/>
        <v>1513588</v>
      </c>
      <c r="M10" s="66">
        <f t="shared" si="2"/>
        <v>0</v>
      </c>
      <c r="N10" s="66">
        <f t="shared" si="2"/>
        <v>-47977134</v>
      </c>
      <c r="O10" s="66">
        <f t="shared" si="2"/>
        <v>0</v>
      </c>
      <c r="P10" s="66">
        <f t="shared" si="2"/>
        <v>0</v>
      </c>
      <c r="Q10" s="66">
        <f t="shared" si="2"/>
        <v>-4450253</v>
      </c>
      <c r="R10" s="66">
        <f t="shared" si="2"/>
        <v>0</v>
      </c>
      <c r="S10" s="66">
        <f t="shared" si="2"/>
        <v>1010138292</v>
      </c>
      <c r="T10" s="66">
        <f t="shared" si="2"/>
        <v>275528936</v>
      </c>
      <c r="U10" s="66">
        <f t="shared" si="2"/>
        <v>2246186885</v>
      </c>
      <c r="V10" s="66">
        <f t="shared" si="2"/>
        <v>3662656</v>
      </c>
      <c r="W10" s="66">
        <f t="shared" si="2"/>
        <v>2249849541</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f>+RDG!H86</f>
        <v>243970033</v>
      </c>
      <c r="U11" s="66">
        <f>H11+I11+J11+K11-L11+M11+N11+O11+P11+Q11+R11+S11+T11</f>
        <v>243970033</v>
      </c>
      <c r="V11" s="65">
        <f>+RDG!H87</f>
        <v>247930</v>
      </c>
      <c r="W11" s="66">
        <f t="shared" ref="W11:W28" si="3">U11+V11</f>
        <v>244217963</v>
      </c>
    </row>
    <row r="12" spans="1:23" x14ac:dyDescent="0.2">
      <c r="A12" s="287" t="s">
        <v>326</v>
      </c>
      <c r="B12" s="287"/>
      <c r="C12" s="287"/>
      <c r="D12" s="287"/>
      <c r="E12" s="287"/>
      <c r="F12" s="287"/>
      <c r="G12" s="6">
        <v>6</v>
      </c>
      <c r="H12" s="67">
        <v>0</v>
      </c>
      <c r="I12" s="67">
        <v>0</v>
      </c>
      <c r="J12" s="67">
        <v>0</v>
      </c>
      <c r="K12" s="67">
        <v>0</v>
      </c>
      <c r="L12" s="67">
        <v>0</v>
      </c>
      <c r="M12" s="67">
        <v>0</v>
      </c>
      <c r="N12" s="65">
        <v>-33039220</v>
      </c>
      <c r="O12" s="67">
        <v>0</v>
      </c>
      <c r="P12" s="67">
        <v>0</v>
      </c>
      <c r="Q12" s="67">
        <v>0</v>
      </c>
      <c r="R12" s="67">
        <v>0</v>
      </c>
      <c r="S12" s="67">
        <v>0</v>
      </c>
      <c r="T12" s="67">
        <v>0</v>
      </c>
      <c r="U12" s="66">
        <f t="shared" ref="U12:U28" si="4">H12+I12+J12+K12-L12+M12+N12+O12+P12+Q12+R12+S12+T12</f>
        <v>-33039220</v>
      </c>
      <c r="V12" s="65">
        <v>-41695</v>
      </c>
      <c r="W12" s="66">
        <f t="shared" si="3"/>
        <v>-33080915</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f>+RDG!H94</f>
        <v>2422390</v>
      </c>
      <c r="R15" s="67">
        <v>0</v>
      </c>
      <c r="S15" s="65">
        <v>0</v>
      </c>
      <c r="T15" s="65">
        <v>0</v>
      </c>
      <c r="U15" s="66">
        <f t="shared" si="4"/>
        <v>2422390</v>
      </c>
      <c r="V15" s="65">
        <v>0</v>
      </c>
      <c r="W15" s="66">
        <f t="shared" si="3"/>
        <v>2422390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96964</v>
      </c>
      <c r="T18" s="65">
        <v>0</v>
      </c>
      <c r="U18" s="66">
        <f t="shared" si="4"/>
        <v>96964</v>
      </c>
      <c r="V18" s="65">
        <v>0</v>
      </c>
      <c r="W18" s="66">
        <f t="shared" si="3"/>
        <v>96964</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f>+NT_I!H52*-1</f>
        <v>2164053</v>
      </c>
      <c r="M24" s="65">
        <v>0</v>
      </c>
      <c r="N24" s="65">
        <v>0</v>
      </c>
      <c r="O24" s="65">
        <v>0</v>
      </c>
      <c r="P24" s="65">
        <v>0</v>
      </c>
      <c r="Q24" s="65">
        <v>0</v>
      </c>
      <c r="R24" s="65">
        <v>0</v>
      </c>
      <c r="S24" s="65">
        <v>0</v>
      </c>
      <c r="T24" s="65">
        <v>0</v>
      </c>
      <c r="U24" s="66">
        <f t="shared" si="4"/>
        <v>-2164053</v>
      </c>
      <c r="V24" s="65">
        <v>0</v>
      </c>
      <c r="W24" s="66">
        <f t="shared" si="3"/>
        <v>-2164053</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f>+NT_I!H50</f>
        <v>-66674000</v>
      </c>
      <c r="T25" s="65">
        <v>0</v>
      </c>
      <c r="U25" s="66">
        <f t="shared" si="4"/>
        <v>-66674000</v>
      </c>
      <c r="V25" s="65">
        <v>0</v>
      </c>
      <c r="W25" s="66">
        <f t="shared" si="3"/>
        <v>-66674000</v>
      </c>
    </row>
    <row r="26" spans="1:23" x14ac:dyDescent="0.2">
      <c r="A26" s="287" t="s">
        <v>340</v>
      </c>
      <c r="B26" s="287"/>
      <c r="C26" s="287"/>
      <c r="D26" s="287"/>
      <c r="E26" s="287"/>
      <c r="F26" s="287"/>
      <c r="G26" s="6">
        <v>20</v>
      </c>
      <c r="H26" s="65">
        <v>0</v>
      </c>
      <c r="I26" s="65">
        <v>186812</v>
      </c>
      <c r="J26" s="65">
        <v>0</v>
      </c>
      <c r="K26" s="65">
        <v>0</v>
      </c>
      <c r="L26" s="65">
        <v>-3586073</v>
      </c>
      <c r="M26" s="65">
        <v>0</v>
      </c>
      <c r="N26" s="65">
        <v>0</v>
      </c>
      <c r="O26" s="65">
        <v>0</v>
      </c>
      <c r="P26" s="65">
        <v>0</v>
      </c>
      <c r="Q26" s="65">
        <v>0</v>
      </c>
      <c r="R26" s="65">
        <v>0</v>
      </c>
      <c r="S26" s="65">
        <v>0</v>
      </c>
      <c r="T26" s="65">
        <v>0</v>
      </c>
      <c r="U26" s="66">
        <f t="shared" si="4"/>
        <v>3772885</v>
      </c>
      <c r="V26" s="65">
        <v>0</v>
      </c>
      <c r="W26" s="66">
        <f t="shared" si="3"/>
        <v>3772885</v>
      </c>
    </row>
    <row r="27" spans="1:23" x14ac:dyDescent="0.2">
      <c r="A27" s="287" t="s">
        <v>341</v>
      </c>
      <c r="B27" s="287"/>
      <c r="C27" s="287"/>
      <c r="D27" s="287"/>
      <c r="E27" s="287"/>
      <c r="F27" s="287"/>
      <c r="G27" s="6">
        <v>21</v>
      </c>
      <c r="H27" s="65">
        <v>0</v>
      </c>
      <c r="I27" s="65">
        <v>0</v>
      </c>
      <c r="J27" s="65">
        <v>0</v>
      </c>
      <c r="K27" s="65">
        <v>0</v>
      </c>
      <c r="L27" s="65">
        <v>0</v>
      </c>
      <c r="M27" s="65">
        <v>0</v>
      </c>
      <c r="N27" s="65">
        <v>1416729</v>
      </c>
      <c r="O27" s="65">
        <v>0</v>
      </c>
      <c r="P27" s="65">
        <v>0</v>
      </c>
      <c r="Q27" s="65">
        <v>0</v>
      </c>
      <c r="R27" s="65">
        <v>0</v>
      </c>
      <c r="S27" s="65">
        <f>+T27*-1-N27</f>
        <v>274112207</v>
      </c>
      <c r="T27" s="65">
        <f>-T7</f>
        <v>-275528936</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133372000</v>
      </c>
      <c r="I29" s="68">
        <f t="shared" ref="I29:W29" si="5">SUM(I10:I28)</f>
        <v>881275444</v>
      </c>
      <c r="J29" s="68">
        <f t="shared" si="5"/>
        <v>0</v>
      </c>
      <c r="K29" s="68">
        <f t="shared" si="5"/>
        <v>0</v>
      </c>
      <c r="L29" s="68">
        <f t="shared" si="5"/>
        <v>91568</v>
      </c>
      <c r="M29" s="68">
        <f t="shared" si="5"/>
        <v>0</v>
      </c>
      <c r="N29" s="68">
        <f t="shared" si="5"/>
        <v>-79599625</v>
      </c>
      <c r="O29" s="68">
        <f t="shared" si="5"/>
        <v>0</v>
      </c>
      <c r="P29" s="68">
        <f t="shared" si="5"/>
        <v>0</v>
      </c>
      <c r="Q29" s="68">
        <f t="shared" si="5"/>
        <v>-2027863</v>
      </c>
      <c r="R29" s="68">
        <f t="shared" si="5"/>
        <v>0</v>
      </c>
      <c r="S29" s="68">
        <f t="shared" si="5"/>
        <v>1217673463</v>
      </c>
      <c r="T29" s="68">
        <f t="shared" si="5"/>
        <v>243970033</v>
      </c>
      <c r="U29" s="68">
        <f t="shared" si="5"/>
        <v>2394571884</v>
      </c>
      <c r="V29" s="68">
        <f t="shared" si="5"/>
        <v>3868891</v>
      </c>
      <c r="W29" s="68">
        <f t="shared" si="5"/>
        <v>2398440775</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-33039220</v>
      </c>
      <c r="O31" s="66">
        <f t="shared" si="6"/>
        <v>0</v>
      </c>
      <c r="P31" s="66">
        <f t="shared" si="6"/>
        <v>0</v>
      </c>
      <c r="Q31" s="66">
        <f t="shared" si="6"/>
        <v>2422390</v>
      </c>
      <c r="R31" s="66">
        <f t="shared" si="6"/>
        <v>0</v>
      </c>
      <c r="S31" s="66">
        <f t="shared" si="6"/>
        <v>96964</v>
      </c>
      <c r="T31" s="66">
        <f t="shared" si="6"/>
        <v>0</v>
      </c>
      <c r="U31" s="66">
        <f t="shared" si="6"/>
        <v>-30519866</v>
      </c>
      <c r="V31" s="66">
        <f t="shared" si="6"/>
        <v>-41695</v>
      </c>
      <c r="W31" s="66">
        <f t="shared" si="6"/>
        <v>-30561561</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-33039220</v>
      </c>
      <c r="O32" s="66">
        <f t="shared" si="7"/>
        <v>0</v>
      </c>
      <c r="P32" s="66">
        <f t="shared" si="7"/>
        <v>0</v>
      </c>
      <c r="Q32" s="66">
        <f t="shared" si="7"/>
        <v>2422390</v>
      </c>
      <c r="R32" s="66">
        <f t="shared" si="7"/>
        <v>0</v>
      </c>
      <c r="S32" s="66">
        <f t="shared" si="7"/>
        <v>96964</v>
      </c>
      <c r="T32" s="66">
        <f t="shared" si="7"/>
        <v>243970033</v>
      </c>
      <c r="U32" s="66">
        <f t="shared" si="7"/>
        <v>213450167</v>
      </c>
      <c r="V32" s="66">
        <f t="shared" si="7"/>
        <v>206235</v>
      </c>
      <c r="W32" s="66">
        <f t="shared" si="7"/>
        <v>213656402</v>
      </c>
    </row>
    <row r="33" spans="1:23" ht="30.75" customHeight="1" x14ac:dyDescent="0.2">
      <c r="A33" s="309" t="s">
        <v>346</v>
      </c>
      <c r="B33" s="309"/>
      <c r="C33" s="309"/>
      <c r="D33" s="309"/>
      <c r="E33" s="309"/>
      <c r="F33" s="309"/>
      <c r="G33" s="8">
        <v>26</v>
      </c>
      <c r="H33" s="68">
        <f>SUM(H21:H28)</f>
        <v>0</v>
      </c>
      <c r="I33" s="68">
        <f t="shared" ref="I33:W33" si="8">SUM(I21:I28)</f>
        <v>186812</v>
      </c>
      <c r="J33" s="68">
        <f t="shared" si="8"/>
        <v>0</v>
      </c>
      <c r="K33" s="68">
        <f t="shared" si="8"/>
        <v>0</v>
      </c>
      <c r="L33" s="68">
        <f t="shared" si="8"/>
        <v>-1422020</v>
      </c>
      <c r="M33" s="68">
        <f t="shared" si="8"/>
        <v>0</v>
      </c>
      <c r="N33" s="68">
        <f t="shared" si="8"/>
        <v>1416729</v>
      </c>
      <c r="O33" s="68">
        <f t="shared" si="8"/>
        <v>0</v>
      </c>
      <c r="P33" s="68">
        <f t="shared" si="8"/>
        <v>0</v>
      </c>
      <c r="Q33" s="68">
        <f t="shared" si="8"/>
        <v>0</v>
      </c>
      <c r="R33" s="68">
        <f t="shared" si="8"/>
        <v>0</v>
      </c>
      <c r="S33" s="68">
        <f t="shared" si="8"/>
        <v>207438207</v>
      </c>
      <c r="T33" s="68">
        <f t="shared" si="8"/>
        <v>-275528936</v>
      </c>
      <c r="U33" s="68">
        <f t="shared" si="8"/>
        <v>-65065168</v>
      </c>
      <c r="V33" s="68">
        <f t="shared" si="8"/>
        <v>0</v>
      </c>
      <c r="W33" s="68">
        <f t="shared" si="8"/>
        <v>-65065168</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133372000</v>
      </c>
      <c r="I35" s="65">
        <v>881275444</v>
      </c>
      <c r="J35" s="65">
        <v>0</v>
      </c>
      <c r="K35" s="65">
        <v>0</v>
      </c>
      <c r="L35" s="65">
        <v>91568</v>
      </c>
      <c r="M35" s="65">
        <v>0</v>
      </c>
      <c r="N35" s="65">
        <v>-79599625</v>
      </c>
      <c r="O35" s="65">
        <v>0</v>
      </c>
      <c r="P35" s="65">
        <v>0</v>
      </c>
      <c r="Q35" s="65">
        <v>-2027863</v>
      </c>
      <c r="R35" s="65">
        <v>0</v>
      </c>
      <c r="S35" s="65">
        <v>1217673463</v>
      </c>
      <c r="T35" s="65">
        <v>243970033</v>
      </c>
      <c r="U35" s="69">
        <f t="shared" ref="U35:U37" si="9">H35+I35+J35+K35-L35+M35+N35+O35+P35+Q35+R35+S35+T35</f>
        <v>2394571884</v>
      </c>
      <c r="V35" s="65">
        <f>+Bilanca!H95</f>
        <v>3868891</v>
      </c>
      <c r="W35" s="69">
        <f t="shared" ref="W35:W37" si="10">U35+V35</f>
        <v>2398440775</v>
      </c>
    </row>
    <row r="36" spans="1:23" x14ac:dyDescent="0.2">
      <c r="A36" s="287" t="s">
        <v>323</v>
      </c>
      <c r="B36" s="287"/>
      <c r="C36" s="287"/>
      <c r="D36" s="287"/>
      <c r="E36" s="287"/>
      <c r="F36" s="287"/>
      <c r="G36" s="6">
        <v>28</v>
      </c>
      <c r="H36" s="65">
        <v>0</v>
      </c>
      <c r="I36" s="65">
        <v>0</v>
      </c>
      <c r="J36" s="65">
        <v>0</v>
      </c>
      <c r="K36" s="65">
        <v>0</v>
      </c>
      <c r="L36" s="65">
        <v>0</v>
      </c>
      <c r="M36" s="65">
        <v>0</v>
      </c>
      <c r="N36" s="65">
        <v>-9987653</v>
      </c>
      <c r="O36" s="65">
        <v>0</v>
      </c>
      <c r="P36" s="65">
        <v>0</v>
      </c>
      <c r="Q36" s="65">
        <v>0</v>
      </c>
      <c r="R36" s="65">
        <v>0</v>
      </c>
      <c r="S36" s="65">
        <v>0</v>
      </c>
      <c r="T36" s="65">
        <v>0</v>
      </c>
      <c r="U36" s="69">
        <f t="shared" si="9"/>
        <v>-9987653</v>
      </c>
      <c r="V36" s="65">
        <v>0</v>
      </c>
      <c r="W36" s="69">
        <f t="shared" si="10"/>
        <v>-9987653</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133372000</v>
      </c>
      <c r="I38" s="69">
        <f t="shared" ref="I38:W38" si="11">I35+I36+I37</f>
        <v>881275444</v>
      </c>
      <c r="J38" s="69">
        <f t="shared" si="11"/>
        <v>0</v>
      </c>
      <c r="K38" s="69">
        <f t="shared" si="11"/>
        <v>0</v>
      </c>
      <c r="L38" s="69">
        <f t="shared" si="11"/>
        <v>91568</v>
      </c>
      <c r="M38" s="69">
        <f t="shared" si="11"/>
        <v>0</v>
      </c>
      <c r="N38" s="69">
        <f t="shared" si="11"/>
        <v>-89587278</v>
      </c>
      <c r="O38" s="69">
        <f t="shared" si="11"/>
        <v>0</v>
      </c>
      <c r="P38" s="69">
        <f t="shared" si="11"/>
        <v>0</v>
      </c>
      <c r="Q38" s="69">
        <f t="shared" si="11"/>
        <v>-2027863</v>
      </c>
      <c r="R38" s="69">
        <f t="shared" si="11"/>
        <v>0</v>
      </c>
      <c r="S38" s="69">
        <f t="shared" si="11"/>
        <v>1217673463</v>
      </c>
      <c r="T38" s="69">
        <f t="shared" si="11"/>
        <v>243970033</v>
      </c>
      <c r="U38" s="69">
        <f t="shared" si="11"/>
        <v>2384584231</v>
      </c>
      <c r="V38" s="69">
        <f t="shared" si="11"/>
        <v>3868891</v>
      </c>
      <c r="W38" s="69">
        <f t="shared" si="11"/>
        <v>2388453122</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f>+RDG!J86</f>
        <v>388880497</v>
      </c>
      <c r="U39" s="69">
        <f t="shared" ref="U39:U56" si="12">H39+I39+J39+K39-L39+M39+N39+O39+P39+Q39+R39+S39+T39</f>
        <v>388880497</v>
      </c>
      <c r="V39" s="65">
        <f>+RDG!J87</f>
        <v>1486838</v>
      </c>
      <c r="W39" s="69">
        <f t="shared" ref="W39:W56" si="13">U39+V39</f>
        <v>390367335</v>
      </c>
    </row>
    <row r="40" spans="1:23" x14ac:dyDescent="0.2">
      <c r="A40" s="287" t="s">
        <v>326</v>
      </c>
      <c r="B40" s="287"/>
      <c r="C40" s="287"/>
      <c r="D40" s="287"/>
      <c r="E40" s="287"/>
      <c r="F40" s="287"/>
      <c r="G40" s="6">
        <v>32</v>
      </c>
      <c r="H40" s="67">
        <v>0</v>
      </c>
      <c r="I40" s="67">
        <v>0</v>
      </c>
      <c r="J40" s="67">
        <v>0</v>
      </c>
      <c r="K40" s="67">
        <v>0</v>
      </c>
      <c r="L40" s="67">
        <v>0</v>
      </c>
      <c r="M40" s="67">
        <v>0</v>
      </c>
      <c r="N40" s="65">
        <f>+RDG!J91-V40</f>
        <v>8668342</v>
      </c>
      <c r="O40" s="67">
        <v>0</v>
      </c>
      <c r="P40" s="67">
        <v>0</v>
      </c>
      <c r="Q40" s="67">
        <v>0</v>
      </c>
      <c r="R40" s="67">
        <v>0</v>
      </c>
      <c r="S40" s="67">
        <v>0</v>
      </c>
      <c r="T40" s="67">
        <v>0</v>
      </c>
      <c r="U40" s="69">
        <f t="shared" si="12"/>
        <v>8668342</v>
      </c>
      <c r="V40" s="65">
        <v>6838</v>
      </c>
      <c r="W40" s="69">
        <f t="shared" si="13"/>
        <v>8675180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f>+RDG!J94</f>
        <v>-2965121</v>
      </c>
      <c r="R43" s="67">
        <v>0</v>
      </c>
      <c r="S43" s="65">
        <v>0</v>
      </c>
      <c r="T43" s="65">
        <v>0</v>
      </c>
      <c r="U43" s="69">
        <f t="shared" si="12"/>
        <v>-2965121</v>
      </c>
      <c r="V43" s="65">
        <v>0</v>
      </c>
      <c r="W43" s="69">
        <f t="shared" si="13"/>
        <v>-2965121</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-2385623</v>
      </c>
      <c r="T46" s="65">
        <v>0</v>
      </c>
      <c r="U46" s="69">
        <f t="shared" si="12"/>
        <v>-2385623</v>
      </c>
      <c r="V46" s="65">
        <v>0</v>
      </c>
      <c r="W46" s="69">
        <f t="shared" si="13"/>
        <v>-2385623</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f>+NT_I!I52*-1</f>
        <v>13424031</v>
      </c>
      <c r="M52" s="65">
        <v>0</v>
      </c>
      <c r="N52" s="65">
        <v>0</v>
      </c>
      <c r="O52" s="65">
        <v>0</v>
      </c>
      <c r="P52" s="65">
        <v>0</v>
      </c>
      <c r="Q52" s="65">
        <v>0</v>
      </c>
      <c r="R52" s="65">
        <v>0</v>
      </c>
      <c r="S52" s="65">
        <v>0</v>
      </c>
      <c r="T52" s="65">
        <v>0</v>
      </c>
      <c r="U52" s="69">
        <f t="shared" si="12"/>
        <v>-13424031</v>
      </c>
      <c r="V52" s="65">
        <v>0</v>
      </c>
      <c r="W52" s="69">
        <f t="shared" si="13"/>
        <v>-13424031</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f>+NT_I!I50</f>
        <v>-106599036</v>
      </c>
      <c r="T53" s="65">
        <v>0</v>
      </c>
      <c r="U53" s="69">
        <f t="shared" si="12"/>
        <v>-106599036</v>
      </c>
      <c r="V53" s="65">
        <v>0</v>
      </c>
      <c r="W53" s="69">
        <f t="shared" si="13"/>
        <v>-106599036</v>
      </c>
    </row>
    <row r="54" spans="1:23" x14ac:dyDescent="0.2">
      <c r="A54" s="287" t="s">
        <v>340</v>
      </c>
      <c r="B54" s="287"/>
      <c r="C54" s="287"/>
      <c r="D54" s="287"/>
      <c r="E54" s="287"/>
      <c r="F54" s="287"/>
      <c r="G54" s="6">
        <v>46</v>
      </c>
      <c r="H54" s="65">
        <v>0</v>
      </c>
      <c r="I54" s="65">
        <f>+Bilanca!I77-Bilanca!H77</f>
        <v>48038</v>
      </c>
      <c r="J54" s="65">
        <v>0</v>
      </c>
      <c r="K54" s="65">
        <v>0</v>
      </c>
      <c r="L54" s="65">
        <v>-7631830</v>
      </c>
      <c r="M54" s="65">
        <v>0</v>
      </c>
      <c r="N54" s="65">
        <v>0</v>
      </c>
      <c r="O54" s="65">
        <v>0</v>
      </c>
      <c r="P54" s="65">
        <v>0</v>
      </c>
      <c r="Q54" s="65">
        <v>0</v>
      </c>
      <c r="R54" s="65">
        <v>0</v>
      </c>
      <c r="S54" s="65">
        <v>0</v>
      </c>
      <c r="T54" s="65">
        <v>0</v>
      </c>
      <c r="U54" s="69">
        <f t="shared" si="12"/>
        <v>7679868</v>
      </c>
      <c r="V54" s="65">
        <v>0</v>
      </c>
      <c r="W54" s="69">
        <f t="shared" si="13"/>
        <v>7679868</v>
      </c>
    </row>
    <row r="55" spans="1:23" x14ac:dyDescent="0.2">
      <c r="A55" s="287" t="s">
        <v>341</v>
      </c>
      <c r="B55" s="287"/>
      <c r="C55" s="287"/>
      <c r="D55" s="287"/>
      <c r="E55" s="287"/>
      <c r="F55" s="287"/>
      <c r="G55" s="6">
        <v>47</v>
      </c>
      <c r="H55" s="65">
        <v>0</v>
      </c>
      <c r="I55" s="65">
        <v>0</v>
      </c>
      <c r="J55" s="65">
        <v>0</v>
      </c>
      <c r="K55" s="65">
        <v>0</v>
      </c>
      <c r="L55" s="65">
        <v>0</v>
      </c>
      <c r="M55" s="65">
        <v>0</v>
      </c>
      <c r="N55" s="65">
        <v>2860681</v>
      </c>
      <c r="O55" s="65">
        <v>0</v>
      </c>
      <c r="P55" s="65">
        <v>0</v>
      </c>
      <c r="Q55" s="65">
        <v>0</v>
      </c>
      <c r="R55" s="65">
        <v>0</v>
      </c>
      <c r="S55" s="65">
        <f>-T55-N55</f>
        <v>241109352</v>
      </c>
      <c r="T55" s="65">
        <f>-T35</f>
        <v>-243970033</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133372000</v>
      </c>
      <c r="I57" s="70">
        <f t="shared" ref="I57:W57" si="14">SUM(I38:I56)</f>
        <v>881323482</v>
      </c>
      <c r="J57" s="70">
        <f t="shared" si="14"/>
        <v>0</v>
      </c>
      <c r="K57" s="70">
        <f t="shared" si="14"/>
        <v>0</v>
      </c>
      <c r="L57" s="70">
        <f t="shared" si="14"/>
        <v>5883769</v>
      </c>
      <c r="M57" s="70">
        <f t="shared" si="14"/>
        <v>0</v>
      </c>
      <c r="N57" s="70">
        <f t="shared" si="14"/>
        <v>-78058255</v>
      </c>
      <c r="O57" s="70">
        <f t="shared" si="14"/>
        <v>0</v>
      </c>
      <c r="P57" s="70">
        <f t="shared" si="14"/>
        <v>0</v>
      </c>
      <c r="Q57" s="70">
        <f t="shared" si="14"/>
        <v>-4992984</v>
      </c>
      <c r="R57" s="70">
        <f t="shared" si="14"/>
        <v>0</v>
      </c>
      <c r="S57" s="70">
        <f t="shared" si="14"/>
        <v>1349798156</v>
      </c>
      <c r="T57" s="70">
        <f t="shared" si="14"/>
        <v>388880497</v>
      </c>
      <c r="U57" s="70">
        <f t="shared" si="14"/>
        <v>2664439127</v>
      </c>
      <c r="V57" s="70">
        <f t="shared" si="14"/>
        <v>5362567</v>
      </c>
      <c r="W57" s="70">
        <f t="shared" si="14"/>
        <v>2669801694</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8668342</v>
      </c>
      <c r="O59" s="69">
        <f t="shared" si="15"/>
        <v>0</v>
      </c>
      <c r="P59" s="69">
        <f t="shared" si="15"/>
        <v>0</v>
      </c>
      <c r="Q59" s="69">
        <f t="shared" si="15"/>
        <v>-2965121</v>
      </c>
      <c r="R59" s="69">
        <f t="shared" si="15"/>
        <v>0</v>
      </c>
      <c r="S59" s="69">
        <f t="shared" si="15"/>
        <v>-2385623</v>
      </c>
      <c r="T59" s="69">
        <f t="shared" si="15"/>
        <v>0</v>
      </c>
      <c r="U59" s="69">
        <f t="shared" si="15"/>
        <v>3317598</v>
      </c>
      <c r="V59" s="69">
        <f t="shared" si="15"/>
        <v>6838</v>
      </c>
      <c r="W59" s="69">
        <f t="shared" si="15"/>
        <v>3324436</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8668342</v>
      </c>
      <c r="O60" s="69">
        <f t="shared" si="16"/>
        <v>0</v>
      </c>
      <c r="P60" s="69">
        <f t="shared" si="16"/>
        <v>0</v>
      </c>
      <c r="Q60" s="69">
        <f t="shared" si="16"/>
        <v>-2965121</v>
      </c>
      <c r="R60" s="69">
        <f t="shared" si="16"/>
        <v>0</v>
      </c>
      <c r="S60" s="69">
        <f t="shared" si="16"/>
        <v>-2385623</v>
      </c>
      <c r="T60" s="69">
        <f t="shared" si="16"/>
        <v>388880497</v>
      </c>
      <c r="U60" s="69">
        <f t="shared" si="16"/>
        <v>392198095</v>
      </c>
      <c r="V60" s="69">
        <f t="shared" si="16"/>
        <v>1493676</v>
      </c>
      <c r="W60" s="69">
        <f t="shared" si="16"/>
        <v>393691771</v>
      </c>
    </row>
    <row r="61" spans="1:23" ht="29.25" customHeight="1" x14ac:dyDescent="0.2">
      <c r="A61" s="312" t="s">
        <v>354</v>
      </c>
      <c r="B61" s="312"/>
      <c r="C61" s="312"/>
      <c r="D61" s="312"/>
      <c r="E61" s="312"/>
      <c r="F61" s="312"/>
      <c r="G61" s="9">
        <v>52</v>
      </c>
      <c r="H61" s="70">
        <f>SUM(H49:H56)</f>
        <v>0</v>
      </c>
      <c r="I61" s="70">
        <f t="shared" ref="I61:W61" si="17">SUM(I49:I56)</f>
        <v>48038</v>
      </c>
      <c r="J61" s="70">
        <f t="shared" si="17"/>
        <v>0</v>
      </c>
      <c r="K61" s="70">
        <f t="shared" si="17"/>
        <v>0</v>
      </c>
      <c r="L61" s="70">
        <f t="shared" si="17"/>
        <v>5792201</v>
      </c>
      <c r="M61" s="70">
        <f t="shared" si="17"/>
        <v>0</v>
      </c>
      <c r="N61" s="70">
        <f t="shared" si="17"/>
        <v>2860681</v>
      </c>
      <c r="O61" s="70">
        <f t="shared" si="17"/>
        <v>0</v>
      </c>
      <c r="P61" s="70">
        <f t="shared" si="17"/>
        <v>0</v>
      </c>
      <c r="Q61" s="70">
        <f t="shared" si="17"/>
        <v>0</v>
      </c>
      <c r="R61" s="70">
        <f t="shared" si="17"/>
        <v>0</v>
      </c>
      <c r="S61" s="70">
        <f t="shared" si="17"/>
        <v>134510316</v>
      </c>
      <c r="T61" s="70">
        <f t="shared" si="17"/>
        <v>-243970033</v>
      </c>
      <c r="U61" s="70">
        <f t="shared" si="17"/>
        <v>-112343199</v>
      </c>
      <c r="V61" s="70">
        <f t="shared" si="17"/>
        <v>0</v>
      </c>
      <c r="W61" s="70">
        <f t="shared" si="17"/>
        <v>-112343199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ht="12.75" customHeight="1" x14ac:dyDescent="0.2">
      <c r="A1" s="314" t="s">
        <v>462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9.75"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openxmlformats.org/package/2006/metadata/core-properties"/>
    <ds:schemaRef ds:uri="d8745bc5-821e-4205-946a-621c2da728c8"/>
    <ds:schemaRef ds:uri="http://purl.org/dc/terms/"/>
    <ds:schemaRef ds:uri="http://purl.org/dc/dcmitype/"/>
    <ds:schemaRef ds:uri="http://purl.org/dc/elements/1.1/"/>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Sinčić</cp:lastModifiedBy>
  <cp:lastPrinted>2019-10-25T10:44:19Z</cp:lastPrinted>
  <dcterms:created xsi:type="dcterms:W3CDTF">2008-10-17T11:51:54Z</dcterms:created>
  <dcterms:modified xsi:type="dcterms:W3CDTF">2020-02-25T13:14:47Z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