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PODACI'!$A$1:$I$64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<sst xmlns="http://schemas.openxmlformats.org/spreadsheetml/2006/main" count="341" uniqueCount="306">
  <si>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</si>
  <si>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</si>
  <si>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</si>
  <si>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</si>
  <si>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</si>
  <si>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</si>
  <si>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</si>
  <si>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</si>
  <si>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</si>
  <si>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</si>
  <si>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</si>
  <si>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</si>
  <si>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</si>
  <si>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</si>
  <si>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</si>
  <si>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</si>
  <si>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</si>
  <si>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</si>
  <si>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</si>
  <si>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</si>
  <si>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</si>
  <si>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</si>
  <si>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</si>
  <si>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</si>
  <si>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</si>
  <si>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</si>
  <si>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</si>
  <si>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</si>
  <si>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</si>
  <si>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</si>
  <si>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</si>
  <si>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</si>
  <si>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</si>
  <si>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</si>
  <si>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</si>
  <si>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</si>
  <si>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</si>
  <si>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</si>
  <si>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</si>
  <si>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</si>
  <si>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</si>
  <si>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</si>
  <si>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</si>
  <si>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</si>
  <si>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</si>
  <si>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</si>
  <si>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</si>
  <si>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</si>
  <si>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</si>
  <si>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</si>
  <si>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</si>
  <si>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</si>
  <si>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</si>
  <si>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</si>
  <si>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</si>
  <si>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</si>
  <si>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</si>
  <si>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</si>
  <si>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</si>
  <si>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</si>
  <si>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</si>
  <si>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</si>
  <si>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</si>
  <si>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</si>
  <si>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</si>
  <si>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</si>
  <si>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</si>
  <si>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</si>
  <si>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</si>
  <si>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</si>
  <si>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</si>
  <si>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</si>
  <si>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</si>
  <si>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</si>
  <si>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</si>
  <si>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</si>
  <si>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</si>
  <si>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</si>
  <si>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</si>
  <si>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</si>
  <si>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</si>
  <si>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</si>
  <si>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</si>
  <si>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</si>
  <si>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</si>
  <si>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</si>
  <si>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</si>
  <si>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</si>
  <si>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</si>
  <si>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</si>
  <si>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</si>
  <si>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</si>
  <si>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</si>
  <si>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</si>
  <si>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</si>
  <si>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</si>
  <si>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</si>
  <si>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</si>
  <si>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</si>
  <si>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</si>
  <si>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</si>
  <si>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</si>
  <si>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</si>
  <si>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</si>
  <si>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</si>
  <si>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</si>
  <si>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</si>
  <si>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</si>
  <si>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</si>
  <si>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</si>
  <si>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</si>
  <si>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</si>
  <si>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</si>
  <si>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</si>
  <si>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</si>
  <si>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</si>
  <si>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</si>
  <si>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</si>
  <si>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</si>
  <si>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</si>
  <si>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</si>
  <si>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</si>
  <si>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</si>
  <si>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</si>
  <si>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</si>
  <si>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</si>
  <si>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</si>
  <si>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</si>
  <si>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</si>
  <si>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</si>
  <si>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</si>
  <si>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</si>
  <si>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</si>
  <si>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</si>
  <si>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</si>
  <si>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</si>
  <si>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</si>
  <si>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</si>
  <si>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</si>
  <si>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</si>
  <si>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</si>
  <si>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</si>
  <si>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</si>
  <si>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</si>
  <si>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</si>
  <si>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</si>
  <si>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</si>
  <si>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</si>
  <si>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</si>
  <si>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</si>
  <si>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</si>
  <si>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</si>
  <si>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</si>
  <si>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</si>
  <si>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</si>
  <si>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</si>
  <si>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</si>
  <si>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</si>
  <si>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</si>
  <si>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</si>
  <si>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</si>
  <si>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</si>
  <si>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</si>
  <si>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</si>
  <si>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</si>
  <si>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</si>
  <si>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</si>
  <si>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</si>
  <si>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</si>
  <si>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</si>
  <si>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</si>
  <si>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</si>
  <si>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</si>
  <si>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</si>
  <si>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</si>
  <si>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</si>
  <si>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</si>
  <si>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</si>
  <si>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</si>
  <si>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</si>
  <si>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</si>
  <si>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</si>
  <si>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</si>
  <si>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</si>
  <si>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</si>
  <si>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</si>
  <si>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</si>
  <si>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</si>
  <si>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</si>
  <si>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</si>
  <si>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</si>
  <si>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</si>
  <si>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</si>
  <si>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</si>
  <si>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</si>
  <si>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</si>
  <si>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</si>
  <si>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</si>
  <si>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</si>
  <si>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</si>
  <si>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</si>
  <si>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</si>
  <si>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</si>
  <si>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</si>
  <si>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</si>
  <si>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</si>
  <si>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</si>
  <si>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</si>
  <si>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</si>
  <si>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</si>
  <si>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</si>
  <si>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</si>
  <si>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</si>
  <si>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</si>
  <si>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</si>
  <si>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</si>
  <si>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</si>
  <si>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</si>
  <si>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</si>
  <si>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</si>
  <si>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</si>
  <si>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</si>
  <si>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</si>
  <si>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</si>
  <si>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</si>
  <si>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</si>
  <si>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</si>
  <si>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</si>
  <si>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</si>
  <si>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</si>
  <si>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</si>
  <si>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</si>
  <si>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</si>
  <si>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</si>
  <si>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</si>
  <si>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</si>
  <si>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</si>
  <si>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</si>
  <si>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</si>
  <si>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</si>
  <si>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</si>
  <si>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</si>
  <si>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</si>
  <si>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</si>
  <si>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</si>
  <si>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</si>
  <si>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</si>
  <si>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</si>
  <si>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</si>
  <si>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</si>
  <si>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</si>
  <si>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</si>
  <si>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</si>
  <si>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</si>
  <si>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</si>
  <si>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</si>
  <si>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</si>
  <si>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</si>
  <si>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</si>
  <si>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</si>
  <si>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</si>
  <si>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</si>
  <si>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</si>
  <si>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</si>
  <si>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</si>
  <si>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</si>
  <si>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</si>
  <si>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</si>
  <si>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</si>
  <si>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</si>
  <si>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</si>
  <si>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</si>
  <si>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</si>
  <si>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</si>
  <si>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</si>
  <si>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marica.jakelic@adplastik.hr</t>
  </si>
  <si>
    <t>Katija Klepo</t>
  </si>
  <si>
    <t>01.01.2012.</t>
  </si>
  <si>
    <t>31.03.2012.</t>
  </si>
  <si>
    <t>021/275-660</t>
  </si>
  <si>
    <t>stanje na dan 31.03.2012.</t>
  </si>
  <si>
    <t>Obveznik: AD Plastik d.d.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</si>
  <si>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</si>
  <si>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</si>
  <si>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</si>
  <si>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</si>
  <si>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</si>
  <si>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</si>
  <si>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</si>
  <si>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</si>
  <si>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u razdoblju 01.01.2012. do 31.03.2012.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</si>
  <si>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</si>
  <si>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</si>
  <si>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</si>
  <si>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</si>
  <si>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</si>
  <si>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</si>
  <si>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</si>
  <si>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</si>
  <si>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</si>
  <si>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</si>
  <si>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</si>
  <si>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u PDF formatu</t>
  </si>
  <si>
    <t>1. Financijski izvještaji</t>
  </si>
  <si>
    <t>2. Međuizvještaj poslovodstva</t>
  </si>
  <si>
    <t>3. Izjava osoba odgovornih za sastavljanje financijskog izvještaja,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</si>
</sst>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49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hidden="1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30" xfId="57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0" fontId="3" fillId="0" borderId="0" xfId="59" applyFont="1" applyAlignment="1" applyProtection="1">
      <alignment horizontal="left"/>
      <protection hidden="1"/>
    </xf>
    <xf numFmtId="0" fontId="13" fillId="0" borderId="0" xfId="59" applyFont="1" applyBorder="1" applyAlignment="1" applyProtection="1">
      <alignment/>
      <protection hidden="1"/>
    </xf>
    <xf numFmtId="0" fontId="18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13" fillId="0" borderId="0" xfId="59" applyFont="1" applyAlignment="1" applyProtection="1">
      <alignment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2" xfId="59" applyFont="1" applyBorder="1" applyAlignment="1" applyProtection="1">
      <alignment horizontal="center" vertical="top"/>
      <protection hidden="1"/>
    </xf>
    <xf numFmtId="0" fontId="3" fillId="0" borderId="32" xfId="59" applyFont="1" applyBorder="1" applyAlignment="1">
      <alignment horizontal="center"/>
      <protection/>
    </xf>
    <xf numFmtId="0" fontId="3" fillId="0" borderId="33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5" fillId="0" borderId="0" xfId="64" applyFont="1" applyBorder="1" applyAlignment="1" applyProtection="1">
      <alignment horizontal="left"/>
      <protection hidden="1"/>
    </xf>
    <xf numFmtId="0" fontId="16" fillId="0" borderId="0" xfId="64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vertical="center" wrapText="1"/>
      <protection hidden="1"/>
    </xf>
    <xf numFmtId="0" fontId="2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9">
      <selection activeCell="E61" sqref="E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851562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8" t="s">
        <v>195</v>
      </c>
      <c r="B1" s="199"/>
      <c r="C1" s="199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53" t="s">
        <v>196</v>
      </c>
      <c r="B2" s="154"/>
      <c r="C2" s="154"/>
      <c r="D2" s="155"/>
      <c r="E2" s="122" t="s">
        <v>277</v>
      </c>
      <c r="F2" s="12"/>
      <c r="G2" s="13" t="s">
        <v>197</v>
      </c>
      <c r="H2" s="106" t="s">
        <v>278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56" t="s">
        <v>258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59" t="s">
        <v>198</v>
      </c>
      <c r="B6" s="160"/>
      <c r="C6" s="151" t="s">
        <v>262</v>
      </c>
      <c r="D6" s="152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24"/>
      <c r="D7" s="24"/>
      <c r="E7" s="29"/>
      <c r="F7" s="29"/>
      <c r="G7" s="29"/>
      <c r="H7" s="29"/>
      <c r="I7" s="80"/>
      <c r="J7" s="10"/>
      <c r="K7" s="10"/>
      <c r="L7" s="10"/>
    </row>
    <row r="8" spans="1:12" ht="12.75">
      <c r="A8" s="161" t="s">
        <v>199</v>
      </c>
      <c r="B8" s="162"/>
      <c r="C8" s="151" t="s">
        <v>263</v>
      </c>
      <c r="D8" s="152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7"/>
      <c r="C9" s="114"/>
      <c r="D9" s="115"/>
      <c r="E9" s="16"/>
      <c r="F9" s="16"/>
      <c r="G9" s="16"/>
      <c r="H9" s="16"/>
      <c r="I9" s="82"/>
      <c r="J9" s="10"/>
      <c r="K9" s="10"/>
      <c r="L9" s="10"/>
    </row>
    <row r="10" spans="1:12" ht="12.75">
      <c r="A10" s="148" t="s">
        <v>200</v>
      </c>
      <c r="B10" s="149"/>
      <c r="C10" s="151" t="s">
        <v>264</v>
      </c>
      <c r="D10" s="152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59" t="s">
        <v>201</v>
      </c>
      <c r="B12" s="160"/>
      <c r="C12" s="163" t="s">
        <v>265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81"/>
      <c r="B13" s="22"/>
      <c r="C13" s="116"/>
      <c r="D13" s="24"/>
      <c r="E13" s="24"/>
      <c r="F13" s="24"/>
      <c r="G13" s="24"/>
      <c r="H13" s="24"/>
      <c r="I13" s="117"/>
      <c r="J13" s="10"/>
      <c r="K13" s="10"/>
      <c r="L13" s="10"/>
    </row>
    <row r="14" spans="1:12" ht="12.75">
      <c r="A14" s="159" t="s">
        <v>202</v>
      </c>
      <c r="B14" s="160"/>
      <c r="C14" s="166">
        <v>21210</v>
      </c>
      <c r="D14" s="167"/>
      <c r="E14" s="24"/>
      <c r="F14" s="163" t="s">
        <v>266</v>
      </c>
      <c r="G14" s="164"/>
      <c r="H14" s="164"/>
      <c r="I14" s="165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59" t="s">
        <v>203</v>
      </c>
      <c r="B16" s="160"/>
      <c r="C16" s="163" t="s">
        <v>267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81"/>
      <c r="B17" s="22"/>
      <c r="C17" s="24"/>
      <c r="D17" s="24"/>
      <c r="E17" s="24"/>
      <c r="F17" s="24"/>
      <c r="G17" s="24"/>
      <c r="H17" s="24"/>
      <c r="I17" s="117"/>
      <c r="J17" s="10"/>
      <c r="K17" s="10"/>
      <c r="L17" s="10"/>
    </row>
    <row r="18" spans="1:12" ht="12.75">
      <c r="A18" s="159" t="s">
        <v>204</v>
      </c>
      <c r="B18" s="160"/>
      <c r="C18" s="168" t="s">
        <v>268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1"/>
      <c r="B19" s="22"/>
      <c r="C19" s="116"/>
      <c r="D19" s="24"/>
      <c r="E19" s="24"/>
      <c r="F19" s="24"/>
      <c r="G19" s="24"/>
      <c r="H19" s="24"/>
      <c r="I19" s="117"/>
      <c r="J19" s="10"/>
      <c r="K19" s="10"/>
      <c r="L19" s="10"/>
    </row>
    <row r="20" spans="1:12" ht="12.75">
      <c r="A20" s="159" t="s">
        <v>205</v>
      </c>
      <c r="B20" s="160"/>
      <c r="C20" s="168" t="s">
        <v>269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1"/>
      <c r="B21" s="22"/>
      <c r="C21" s="116"/>
      <c r="D21" s="24"/>
      <c r="E21" s="24"/>
      <c r="F21" s="24"/>
      <c r="G21" s="24"/>
      <c r="H21" s="24"/>
      <c r="I21" s="117"/>
      <c r="J21" s="10"/>
      <c r="K21" s="10"/>
      <c r="L21" s="10"/>
    </row>
    <row r="22" spans="1:12" ht="12.75">
      <c r="A22" s="159" t="s">
        <v>206</v>
      </c>
      <c r="B22" s="160"/>
      <c r="C22" s="107">
        <v>406</v>
      </c>
      <c r="D22" s="163" t="s">
        <v>266</v>
      </c>
      <c r="E22" s="171"/>
      <c r="F22" s="172"/>
      <c r="G22" s="173"/>
      <c r="H22" s="174"/>
      <c r="I22" s="84"/>
      <c r="J22" s="10"/>
      <c r="K22" s="10"/>
      <c r="L22" s="10"/>
    </row>
    <row r="23" spans="1:12" ht="12.75">
      <c r="A23" s="81"/>
      <c r="B23" s="22"/>
      <c r="C23" s="24"/>
      <c r="D23" s="24"/>
      <c r="E23" s="24"/>
      <c r="F23" s="24"/>
      <c r="G23" s="24"/>
      <c r="H23" s="24"/>
      <c r="I23" s="117"/>
      <c r="J23" s="10"/>
      <c r="K23" s="10"/>
      <c r="L23" s="10"/>
    </row>
    <row r="24" spans="1:12" ht="12.75">
      <c r="A24" s="159" t="s">
        <v>207</v>
      </c>
      <c r="B24" s="160"/>
      <c r="C24" s="107">
        <v>17</v>
      </c>
      <c r="D24" s="163" t="s">
        <v>270</v>
      </c>
      <c r="E24" s="171"/>
      <c r="F24" s="171"/>
      <c r="G24" s="172"/>
      <c r="H24" s="119" t="s">
        <v>208</v>
      </c>
      <c r="I24" s="108">
        <v>885</v>
      </c>
      <c r="J24" s="10"/>
      <c r="K24" s="10"/>
      <c r="L24" s="10"/>
    </row>
    <row r="25" spans="1:12" ht="12.75">
      <c r="A25" s="81"/>
      <c r="B25" s="22"/>
      <c r="C25" s="24"/>
      <c r="D25" s="24"/>
      <c r="E25" s="24"/>
      <c r="F25" s="24"/>
      <c r="G25" s="118"/>
      <c r="H25" s="118" t="s">
        <v>259</v>
      </c>
      <c r="I25" s="120"/>
      <c r="J25" s="10"/>
      <c r="K25" s="10"/>
      <c r="L25" s="10"/>
    </row>
    <row r="26" spans="1:12" ht="12.75">
      <c r="A26" s="159" t="s">
        <v>209</v>
      </c>
      <c r="B26" s="160"/>
      <c r="C26" s="109" t="s">
        <v>271</v>
      </c>
      <c r="D26" s="25"/>
      <c r="E26" s="121"/>
      <c r="F26" s="24"/>
      <c r="G26" s="175" t="s">
        <v>210</v>
      </c>
      <c r="H26" s="176"/>
      <c r="I26" s="110" t="s">
        <v>272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77" t="s">
        <v>211</v>
      </c>
      <c r="B28" s="178"/>
      <c r="C28" s="179"/>
      <c r="D28" s="179"/>
      <c r="E28" s="180" t="s">
        <v>212</v>
      </c>
      <c r="F28" s="181"/>
      <c r="G28" s="181"/>
      <c r="H28" s="182" t="s">
        <v>213</v>
      </c>
      <c r="I28" s="183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84"/>
      <c r="B30" s="185"/>
      <c r="C30" s="185"/>
      <c r="D30" s="186"/>
      <c r="E30" s="184"/>
      <c r="F30" s="185"/>
      <c r="G30" s="185"/>
      <c r="H30" s="151"/>
      <c r="I30" s="152"/>
      <c r="J30" s="10"/>
      <c r="K30" s="10"/>
      <c r="L30" s="10"/>
    </row>
    <row r="31" spans="1:12" ht="12.75">
      <c r="A31" s="81"/>
      <c r="B31" s="22"/>
      <c r="C31" s="21"/>
      <c r="D31" s="187"/>
      <c r="E31" s="187"/>
      <c r="F31" s="187"/>
      <c r="G31" s="188"/>
      <c r="H31" s="16"/>
      <c r="I31" s="87"/>
      <c r="J31" s="10"/>
      <c r="K31" s="10"/>
      <c r="L31" s="10"/>
    </row>
    <row r="32" spans="1:12" ht="12.75">
      <c r="A32" s="184"/>
      <c r="B32" s="185"/>
      <c r="C32" s="185"/>
      <c r="D32" s="186"/>
      <c r="E32" s="184"/>
      <c r="F32" s="185"/>
      <c r="G32" s="185"/>
      <c r="H32" s="151"/>
      <c r="I32" s="152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84"/>
      <c r="B34" s="185"/>
      <c r="C34" s="185"/>
      <c r="D34" s="186"/>
      <c r="E34" s="184"/>
      <c r="F34" s="185"/>
      <c r="G34" s="185"/>
      <c r="H34" s="151"/>
      <c r="I34" s="152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84"/>
      <c r="B36" s="185"/>
      <c r="C36" s="185"/>
      <c r="D36" s="186"/>
      <c r="E36" s="184"/>
      <c r="F36" s="185"/>
      <c r="G36" s="185"/>
      <c r="H36" s="151"/>
      <c r="I36" s="152"/>
      <c r="J36" s="10"/>
      <c r="K36" s="10"/>
      <c r="L36" s="10"/>
    </row>
    <row r="37" spans="1:12" ht="12.75">
      <c r="A37" s="89"/>
      <c r="B37" s="30"/>
      <c r="C37" s="189"/>
      <c r="D37" s="190"/>
      <c r="E37" s="16"/>
      <c r="F37" s="189"/>
      <c r="G37" s="190"/>
      <c r="H37" s="16"/>
      <c r="I37" s="82"/>
      <c r="J37" s="10"/>
      <c r="K37" s="10"/>
      <c r="L37" s="10"/>
    </row>
    <row r="38" spans="1:12" ht="12.75">
      <c r="A38" s="184"/>
      <c r="B38" s="185"/>
      <c r="C38" s="185"/>
      <c r="D38" s="186"/>
      <c r="E38" s="184"/>
      <c r="F38" s="185"/>
      <c r="G38" s="185"/>
      <c r="H38" s="151"/>
      <c r="I38" s="152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84"/>
      <c r="B40" s="185"/>
      <c r="C40" s="185"/>
      <c r="D40" s="186"/>
      <c r="E40" s="184"/>
      <c r="F40" s="185"/>
      <c r="G40" s="185"/>
      <c r="H40" s="151"/>
      <c r="I40" s="152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>
      <c r="A44" s="148" t="s">
        <v>214</v>
      </c>
      <c r="B44" s="194"/>
      <c r="C44" s="151"/>
      <c r="D44" s="152"/>
      <c r="E44" s="26"/>
      <c r="F44" s="163"/>
      <c r="G44" s="185"/>
      <c r="H44" s="185"/>
      <c r="I44" s="186"/>
      <c r="J44" s="10"/>
      <c r="K44" s="10"/>
      <c r="L44" s="10"/>
    </row>
    <row r="45" spans="1:12" ht="12.75">
      <c r="A45" s="89"/>
      <c r="B45" s="30"/>
      <c r="C45" s="189"/>
      <c r="D45" s="190"/>
      <c r="E45" s="16"/>
      <c r="F45" s="189"/>
      <c r="G45" s="191"/>
      <c r="H45" s="35"/>
      <c r="I45" s="93"/>
      <c r="J45" s="10"/>
      <c r="K45" s="10"/>
      <c r="L45" s="10"/>
    </row>
    <row r="46" spans="1:12" ht="12.75">
      <c r="A46" s="148" t="s">
        <v>215</v>
      </c>
      <c r="B46" s="194"/>
      <c r="C46" s="163" t="s">
        <v>273</v>
      </c>
      <c r="D46" s="192"/>
      <c r="E46" s="192"/>
      <c r="F46" s="192"/>
      <c r="G46" s="192"/>
      <c r="H46" s="192"/>
      <c r="I46" s="193"/>
      <c r="J46" s="10"/>
      <c r="K46" s="10"/>
      <c r="L46" s="10"/>
    </row>
    <row r="47" spans="1:12" ht="12.75">
      <c r="A47" s="81"/>
      <c r="B47" s="22"/>
      <c r="C47" s="116" t="s">
        <v>216</v>
      </c>
      <c r="D47" s="24"/>
      <c r="E47" s="24"/>
      <c r="F47" s="24"/>
      <c r="G47" s="24"/>
      <c r="H47" s="24"/>
      <c r="I47" s="117"/>
      <c r="J47" s="10"/>
      <c r="K47" s="10"/>
      <c r="L47" s="10"/>
    </row>
    <row r="48" spans="1:12" ht="12.75">
      <c r="A48" s="148" t="s">
        <v>217</v>
      </c>
      <c r="B48" s="194"/>
      <c r="C48" s="195" t="s">
        <v>274</v>
      </c>
      <c r="D48" s="196"/>
      <c r="E48" s="197"/>
      <c r="F48" s="24"/>
      <c r="G48" s="119" t="s">
        <v>218</v>
      </c>
      <c r="H48" s="195" t="s">
        <v>279</v>
      </c>
      <c r="I48" s="197"/>
      <c r="J48" s="10"/>
      <c r="K48" s="10"/>
      <c r="L48" s="10"/>
    </row>
    <row r="49" spans="1:12" ht="12.75">
      <c r="A49" s="81"/>
      <c r="B49" s="22"/>
      <c r="C49" s="116"/>
      <c r="D49" s="24"/>
      <c r="E49" s="24"/>
      <c r="F49" s="24"/>
      <c r="G49" s="24"/>
      <c r="H49" s="24"/>
      <c r="I49" s="117"/>
      <c r="J49" s="10"/>
      <c r="K49" s="10"/>
      <c r="L49" s="10"/>
    </row>
    <row r="50" spans="1:12" ht="12.75">
      <c r="A50" s="148" t="s">
        <v>204</v>
      </c>
      <c r="B50" s="194"/>
      <c r="C50" s="207" t="s">
        <v>275</v>
      </c>
      <c r="D50" s="196"/>
      <c r="E50" s="196"/>
      <c r="F50" s="196"/>
      <c r="G50" s="196"/>
      <c r="H50" s="196"/>
      <c r="I50" s="197"/>
      <c r="J50" s="10"/>
      <c r="K50" s="10"/>
      <c r="L50" s="10"/>
    </row>
    <row r="51" spans="1:12" ht="12.75">
      <c r="A51" s="81"/>
      <c r="B51" s="22"/>
      <c r="C51" s="24"/>
      <c r="D51" s="24"/>
      <c r="E51" s="24"/>
      <c r="F51" s="24"/>
      <c r="G51" s="24"/>
      <c r="H51" s="24"/>
      <c r="I51" s="117"/>
      <c r="J51" s="10"/>
      <c r="K51" s="10"/>
      <c r="L51" s="10"/>
    </row>
    <row r="52" spans="1:12" ht="12.75">
      <c r="A52" s="159" t="s">
        <v>219</v>
      </c>
      <c r="B52" s="160"/>
      <c r="C52" s="195" t="s">
        <v>276</v>
      </c>
      <c r="D52" s="196"/>
      <c r="E52" s="196"/>
      <c r="F52" s="196"/>
      <c r="G52" s="196"/>
      <c r="H52" s="196"/>
      <c r="I52" s="165"/>
      <c r="J52" s="10"/>
      <c r="K52" s="10"/>
      <c r="L52" s="10"/>
    </row>
    <row r="53" spans="1:12" ht="12.75">
      <c r="A53" s="94"/>
      <c r="B53" s="20"/>
      <c r="C53" s="200" t="s">
        <v>220</v>
      </c>
      <c r="D53" s="200"/>
      <c r="E53" s="200"/>
      <c r="F53" s="200"/>
      <c r="G53" s="200"/>
      <c r="H53" s="200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208" t="s">
        <v>221</v>
      </c>
      <c r="C55" s="209"/>
      <c r="D55" s="209"/>
      <c r="E55" s="209"/>
      <c r="F55" s="46"/>
      <c r="G55" s="46"/>
      <c r="H55" s="46"/>
      <c r="I55" s="96"/>
      <c r="J55" s="10"/>
      <c r="K55" s="10"/>
      <c r="L55" s="10"/>
    </row>
    <row r="56" spans="1:12" s="146" customFormat="1" ht="12.75">
      <c r="A56" s="142"/>
      <c r="B56" s="143" t="s">
        <v>303</v>
      </c>
      <c r="C56" s="144"/>
      <c r="D56" s="144"/>
      <c r="E56" s="144"/>
      <c r="F56" s="144"/>
      <c r="G56" s="144"/>
      <c r="H56" s="204" t="s">
        <v>302</v>
      </c>
      <c r="I56" s="204"/>
      <c r="J56" s="145"/>
      <c r="K56" s="145"/>
      <c r="L56" s="145"/>
    </row>
    <row r="57" spans="1:12" s="146" customFormat="1" ht="12.75">
      <c r="A57" s="142"/>
      <c r="B57" s="143" t="s">
        <v>304</v>
      </c>
      <c r="C57" s="144"/>
      <c r="D57" s="144"/>
      <c r="E57" s="144"/>
      <c r="F57" s="144"/>
      <c r="G57" s="144"/>
      <c r="H57" s="204"/>
      <c r="I57" s="204"/>
      <c r="J57" s="145"/>
      <c r="K57" s="145"/>
      <c r="L57" s="145"/>
    </row>
    <row r="58" spans="1:12" s="146" customFormat="1" ht="12.75">
      <c r="A58" s="142"/>
      <c r="B58" s="143" t="s">
        <v>305</v>
      </c>
      <c r="C58" s="144"/>
      <c r="D58" s="144"/>
      <c r="E58" s="144"/>
      <c r="F58" s="144"/>
      <c r="G58" s="144"/>
      <c r="H58" s="204"/>
      <c r="I58" s="204"/>
      <c r="J58" s="145"/>
      <c r="K58" s="145"/>
      <c r="L58" s="145"/>
    </row>
    <row r="59" spans="1:12" s="146" customFormat="1" ht="12.75">
      <c r="A59" s="142"/>
      <c r="B59" s="143"/>
      <c r="C59" s="147"/>
      <c r="D59" s="147"/>
      <c r="E59" s="147"/>
      <c r="F59" s="147"/>
      <c r="G59" s="147"/>
      <c r="H59" s="204"/>
      <c r="I59" s="204"/>
      <c r="J59" s="145"/>
      <c r="K59" s="145"/>
      <c r="L59" s="145"/>
    </row>
    <row r="60" spans="1:12" s="146" customFormat="1" ht="12.75">
      <c r="A60" s="142"/>
      <c r="B60" s="143"/>
      <c r="C60" s="147"/>
      <c r="D60" s="147"/>
      <c r="E60" s="147"/>
      <c r="F60" s="147"/>
      <c r="G60" s="147"/>
      <c r="H60" s="204"/>
      <c r="I60" s="204"/>
      <c r="J60" s="145"/>
      <c r="K60" s="145"/>
      <c r="L60" s="145"/>
    </row>
    <row r="61" spans="1:12" ht="12.75">
      <c r="A61" s="94"/>
      <c r="B61" s="97"/>
      <c r="C61" s="98"/>
      <c r="D61" s="98"/>
      <c r="E61" s="98"/>
      <c r="F61" s="98"/>
      <c r="G61" s="98"/>
      <c r="H61" s="98"/>
      <c r="I61" s="99"/>
      <c r="J61" s="10"/>
      <c r="K61" s="10"/>
      <c r="L61" s="10"/>
    </row>
    <row r="62" spans="1:12" ht="13.5" thickBot="1">
      <c r="A62" s="100" t="s">
        <v>222</v>
      </c>
      <c r="B62" s="16"/>
      <c r="C62" s="16"/>
      <c r="D62" s="16"/>
      <c r="E62" s="16"/>
      <c r="F62" s="16"/>
      <c r="G62" s="37"/>
      <c r="H62" s="38"/>
      <c r="I62" s="101"/>
      <c r="J62" s="10"/>
      <c r="K62" s="10"/>
      <c r="L62" s="10"/>
    </row>
    <row r="63" spans="1:12" ht="12.75">
      <c r="A63" s="77"/>
      <c r="B63" s="16"/>
      <c r="C63" s="16"/>
      <c r="D63" s="16"/>
      <c r="E63" s="20" t="s">
        <v>223</v>
      </c>
      <c r="F63" s="33"/>
      <c r="G63" s="201" t="s">
        <v>224</v>
      </c>
      <c r="H63" s="202"/>
      <c r="I63" s="203"/>
      <c r="J63" s="10"/>
      <c r="K63" s="10"/>
      <c r="L63" s="10"/>
    </row>
    <row r="64" spans="1:12" ht="12.75">
      <c r="A64" s="102"/>
      <c r="B64" s="103"/>
      <c r="C64" s="104"/>
      <c r="D64" s="104"/>
      <c r="E64" s="104"/>
      <c r="F64" s="104"/>
      <c r="G64" s="205"/>
      <c r="H64" s="206"/>
      <c r="I64" s="105"/>
      <c r="J64" s="10"/>
      <c r="K64" s="10"/>
      <c r="L64" s="10"/>
    </row>
  </sheetData>
  <sheetProtection/>
  <protectedRanges>
    <protectedRange sqref="E2 H2 A30:I30 A32:I32 A34:D34" name="Range1"/>
    <protectedRange sqref="C6:D6 C8:D8 C10:D10" name="Range1_1"/>
    <protectedRange sqref="C12:I12 C14:D14 F14:I14" name="Range1_2"/>
    <protectedRange sqref="C16:I16 C18:I18 C20:I20 C24:G24 C22:F22 C26 I26 I24" name="Range1_3"/>
  </protectedRanges>
  <mergeCells count="70">
    <mergeCell ref="H56:I60"/>
    <mergeCell ref="G64:H64"/>
    <mergeCell ref="A50:B50"/>
    <mergeCell ref="C50:I50"/>
    <mergeCell ref="A52:B52"/>
    <mergeCell ref="C52:I52"/>
    <mergeCell ref="B55:E55"/>
    <mergeCell ref="A48:B48"/>
    <mergeCell ref="C48:E48"/>
    <mergeCell ref="H48:I48"/>
    <mergeCell ref="A1:C1"/>
    <mergeCell ref="C53:H53"/>
    <mergeCell ref="G63:I6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="110" zoomScaleSheetLayoutView="110" zoomScalePageLayoutView="0" workbookViewId="0" topLeftCell="A116">
      <selection activeCell="J69" sqref="J69:K115"/>
    </sheetView>
  </sheetViews>
  <sheetFormatPr defaultColWidth="9.140625" defaultRowHeight="12.75"/>
  <cols>
    <col min="1" max="9" width="9.140625" style="48" customWidth="1"/>
    <col min="10" max="11" width="12.7109375" style="48" customWidth="1"/>
    <col min="12" max="16384" width="9.140625" style="48" customWidth="1"/>
  </cols>
  <sheetData>
    <row r="1" spans="1:11" ht="12.75" customHeight="1">
      <c r="A1" s="247" t="s">
        <v>117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280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281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40</v>
      </c>
      <c r="B4" s="253"/>
      <c r="C4" s="253"/>
      <c r="D4" s="253"/>
      <c r="E4" s="253"/>
      <c r="F4" s="253"/>
      <c r="G4" s="253"/>
      <c r="H4" s="254"/>
      <c r="I4" s="53" t="s">
        <v>225</v>
      </c>
      <c r="J4" s="54" t="s">
        <v>260</v>
      </c>
      <c r="K4" s="55" t="s">
        <v>261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2">
        <v>2</v>
      </c>
      <c r="J5" s="51">
        <v>3</v>
      </c>
      <c r="K5" s="51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41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282</v>
      </c>
      <c r="B8" s="227"/>
      <c r="C8" s="227"/>
      <c r="D8" s="227"/>
      <c r="E8" s="227"/>
      <c r="F8" s="227"/>
      <c r="G8" s="227"/>
      <c r="H8" s="228"/>
      <c r="I8" s="1">
        <v>2</v>
      </c>
      <c r="J8" s="125">
        <f>+J9+J16+J26+J35+J39</f>
        <v>721399889</v>
      </c>
      <c r="K8" s="125">
        <f>+K9+K16+K26+K35+K39</f>
        <v>726571416</v>
      </c>
    </row>
    <row r="9" spans="1:11" ht="12.75">
      <c r="A9" s="226" t="s">
        <v>160</v>
      </c>
      <c r="B9" s="227"/>
      <c r="C9" s="227"/>
      <c r="D9" s="227"/>
      <c r="E9" s="227"/>
      <c r="F9" s="227"/>
      <c r="G9" s="227"/>
      <c r="H9" s="228"/>
      <c r="I9" s="1">
        <v>3</v>
      </c>
      <c r="J9" s="125">
        <f>SUM(J10:J15)</f>
        <v>36409304</v>
      </c>
      <c r="K9" s="125">
        <f>SUM(K10:K15)</f>
        <v>34635496</v>
      </c>
    </row>
    <row r="10" spans="1:11" ht="12.75">
      <c r="A10" s="223" t="s">
        <v>89</v>
      </c>
      <c r="B10" s="224"/>
      <c r="C10" s="224"/>
      <c r="D10" s="224"/>
      <c r="E10" s="224"/>
      <c r="F10" s="224"/>
      <c r="G10" s="224"/>
      <c r="H10" s="225"/>
      <c r="I10" s="1">
        <v>4</v>
      </c>
      <c r="J10" s="123">
        <v>35938378</v>
      </c>
      <c r="K10" s="123">
        <v>34223921</v>
      </c>
    </row>
    <row r="11" spans="1:11" ht="12.75">
      <c r="A11" s="223" t="s">
        <v>7</v>
      </c>
      <c r="B11" s="224"/>
      <c r="C11" s="224"/>
      <c r="D11" s="224"/>
      <c r="E11" s="224"/>
      <c r="F11" s="224"/>
      <c r="G11" s="224"/>
      <c r="H11" s="225"/>
      <c r="I11" s="1">
        <v>5</v>
      </c>
      <c r="J11" s="123">
        <v>470926</v>
      </c>
      <c r="K11" s="123">
        <v>411575</v>
      </c>
    </row>
    <row r="12" spans="1:11" ht="12.75">
      <c r="A12" s="223" t="s">
        <v>90</v>
      </c>
      <c r="B12" s="224"/>
      <c r="C12" s="224"/>
      <c r="D12" s="224"/>
      <c r="E12" s="224"/>
      <c r="F12" s="224"/>
      <c r="G12" s="224"/>
      <c r="H12" s="225"/>
      <c r="I12" s="1">
        <v>6</v>
      </c>
      <c r="J12" s="123"/>
      <c r="K12" s="123"/>
    </row>
    <row r="13" spans="1:11" ht="12.75">
      <c r="A13" s="223" t="s">
        <v>163</v>
      </c>
      <c r="B13" s="224"/>
      <c r="C13" s="224"/>
      <c r="D13" s="224"/>
      <c r="E13" s="224"/>
      <c r="F13" s="224"/>
      <c r="G13" s="224"/>
      <c r="H13" s="225"/>
      <c r="I13" s="1">
        <v>7</v>
      </c>
      <c r="J13" s="123"/>
      <c r="K13" s="123"/>
    </row>
    <row r="14" spans="1:11" ht="12.75">
      <c r="A14" s="223" t="s">
        <v>164</v>
      </c>
      <c r="B14" s="224"/>
      <c r="C14" s="224"/>
      <c r="D14" s="224"/>
      <c r="E14" s="224"/>
      <c r="F14" s="224"/>
      <c r="G14" s="224"/>
      <c r="H14" s="225"/>
      <c r="I14" s="1">
        <v>8</v>
      </c>
      <c r="J14" s="123"/>
      <c r="K14" s="123"/>
    </row>
    <row r="15" spans="1:11" ht="12.75">
      <c r="A15" s="223" t="s">
        <v>165</v>
      </c>
      <c r="B15" s="224"/>
      <c r="C15" s="224"/>
      <c r="D15" s="224"/>
      <c r="E15" s="224"/>
      <c r="F15" s="224"/>
      <c r="G15" s="224"/>
      <c r="H15" s="225"/>
      <c r="I15" s="1">
        <v>9</v>
      </c>
      <c r="J15" s="123"/>
      <c r="K15" s="123"/>
    </row>
    <row r="16" spans="1:11" ht="12.75">
      <c r="A16" s="226" t="s">
        <v>161</v>
      </c>
      <c r="B16" s="227"/>
      <c r="C16" s="227"/>
      <c r="D16" s="227"/>
      <c r="E16" s="227"/>
      <c r="F16" s="227"/>
      <c r="G16" s="227"/>
      <c r="H16" s="228"/>
      <c r="I16" s="1">
        <v>10</v>
      </c>
      <c r="J16" s="125">
        <f>SUM(J17:J25)</f>
        <v>425253547</v>
      </c>
      <c r="K16" s="125">
        <f>SUM(K17:K25)</f>
        <v>420458698</v>
      </c>
    </row>
    <row r="17" spans="1:11" ht="12.75">
      <c r="A17" s="223" t="s">
        <v>166</v>
      </c>
      <c r="B17" s="224"/>
      <c r="C17" s="224"/>
      <c r="D17" s="224"/>
      <c r="E17" s="224"/>
      <c r="F17" s="224"/>
      <c r="G17" s="224"/>
      <c r="H17" s="225"/>
      <c r="I17" s="1">
        <v>11</v>
      </c>
      <c r="J17" s="123">
        <v>135379260</v>
      </c>
      <c r="K17" s="123">
        <v>135379260</v>
      </c>
    </row>
    <row r="18" spans="1:11" ht="12.75">
      <c r="A18" s="223" t="s">
        <v>194</v>
      </c>
      <c r="B18" s="224"/>
      <c r="C18" s="224"/>
      <c r="D18" s="224"/>
      <c r="E18" s="224"/>
      <c r="F18" s="224"/>
      <c r="G18" s="224"/>
      <c r="H18" s="225"/>
      <c r="I18" s="1">
        <v>12</v>
      </c>
      <c r="J18" s="123">
        <f>226337165+352820-57879408-75161</f>
        <v>168735416</v>
      </c>
      <c r="K18" s="123">
        <f>226399822+352819-58728204-76500</f>
        <v>167947937</v>
      </c>
    </row>
    <row r="19" spans="1:11" ht="12.75">
      <c r="A19" s="223" t="s">
        <v>167</v>
      </c>
      <c r="B19" s="224"/>
      <c r="C19" s="224"/>
      <c r="D19" s="224"/>
      <c r="E19" s="224"/>
      <c r="F19" s="224"/>
      <c r="G19" s="224"/>
      <c r="H19" s="225"/>
      <c r="I19" s="1">
        <v>13</v>
      </c>
      <c r="J19" s="123">
        <f>276691627+4215828-165398513-4205489</f>
        <v>111303453</v>
      </c>
      <c r="K19" s="123">
        <f>277347474+4215827-169597005-4206151</f>
        <v>107760145</v>
      </c>
    </row>
    <row r="20" spans="1:11" ht="12.75">
      <c r="A20" s="223" t="s">
        <v>11</v>
      </c>
      <c r="B20" s="224"/>
      <c r="C20" s="224"/>
      <c r="D20" s="224"/>
      <c r="E20" s="224"/>
      <c r="F20" s="224"/>
      <c r="G20" s="224"/>
      <c r="H20" s="225"/>
      <c r="I20" s="1">
        <v>14</v>
      </c>
      <c r="J20" s="123">
        <f>5408025+4212384+1720152+14393276+2952432+2315284-4891025-3399687-1394003-2581-11575214-2535972-1044576</f>
        <v>6158495</v>
      </c>
      <c r="K20" s="123">
        <f>5494241+4244484+1744906+14849246+2952432+2545978-4955790-3465918-1416560-2581-11852344-2553483-1079449-19492</f>
        <v>6485670</v>
      </c>
    </row>
    <row r="21" spans="1:11" ht="12.75">
      <c r="A21" s="223" t="s">
        <v>12</v>
      </c>
      <c r="B21" s="224"/>
      <c r="C21" s="224"/>
      <c r="D21" s="224"/>
      <c r="E21" s="224"/>
      <c r="F21" s="224"/>
      <c r="G21" s="224"/>
      <c r="H21" s="225"/>
      <c r="I21" s="1">
        <v>15</v>
      </c>
      <c r="J21" s="123"/>
      <c r="K21" s="123"/>
    </row>
    <row r="22" spans="1:11" ht="12.75">
      <c r="A22" s="223" t="s">
        <v>53</v>
      </c>
      <c r="B22" s="224"/>
      <c r="C22" s="224"/>
      <c r="D22" s="224"/>
      <c r="E22" s="224"/>
      <c r="F22" s="224"/>
      <c r="G22" s="224"/>
      <c r="H22" s="225"/>
      <c r="I22" s="1">
        <v>16</v>
      </c>
      <c r="J22" s="123"/>
      <c r="K22" s="123"/>
    </row>
    <row r="23" spans="1:11" ht="12.75">
      <c r="A23" s="223" t="s">
        <v>54</v>
      </c>
      <c r="B23" s="224"/>
      <c r="C23" s="224"/>
      <c r="D23" s="224"/>
      <c r="E23" s="224"/>
      <c r="F23" s="224"/>
      <c r="G23" s="224"/>
      <c r="H23" s="225"/>
      <c r="I23" s="1">
        <v>17</v>
      </c>
      <c r="J23" s="123">
        <v>3676923</v>
      </c>
      <c r="K23" s="123">
        <v>2885686</v>
      </c>
    </row>
    <row r="24" spans="1:11" ht="12.75">
      <c r="A24" s="223" t="s">
        <v>55</v>
      </c>
      <c r="B24" s="224"/>
      <c r="C24" s="224"/>
      <c r="D24" s="224"/>
      <c r="E24" s="224"/>
      <c r="F24" s="224"/>
      <c r="G24" s="224"/>
      <c r="H24" s="225"/>
      <c r="I24" s="1">
        <v>18</v>
      </c>
      <c r="J24" s="123"/>
      <c r="K24" s="123"/>
    </row>
    <row r="25" spans="1:11" ht="12.75">
      <c r="A25" s="223" t="s">
        <v>56</v>
      </c>
      <c r="B25" s="224"/>
      <c r="C25" s="224"/>
      <c r="D25" s="224"/>
      <c r="E25" s="224"/>
      <c r="F25" s="224"/>
      <c r="G25" s="224"/>
      <c r="H25" s="225"/>
      <c r="I25" s="1">
        <v>19</v>
      </c>
      <c r="J25" s="123"/>
      <c r="K25" s="123"/>
    </row>
    <row r="26" spans="1:11" ht="12.75">
      <c r="A26" s="226" t="s">
        <v>149</v>
      </c>
      <c r="B26" s="227"/>
      <c r="C26" s="227"/>
      <c r="D26" s="227"/>
      <c r="E26" s="227"/>
      <c r="F26" s="227"/>
      <c r="G26" s="227"/>
      <c r="H26" s="228"/>
      <c r="I26" s="1">
        <v>20</v>
      </c>
      <c r="J26" s="125">
        <f>SUM(J27:J34)</f>
        <v>258849409</v>
      </c>
      <c r="K26" s="125">
        <f>SUM(K27:K34)</f>
        <v>270589593</v>
      </c>
    </row>
    <row r="27" spans="1:11" ht="12.75">
      <c r="A27" s="223" t="s">
        <v>57</v>
      </c>
      <c r="B27" s="224"/>
      <c r="C27" s="224"/>
      <c r="D27" s="224"/>
      <c r="E27" s="224"/>
      <c r="F27" s="224"/>
      <c r="G27" s="224"/>
      <c r="H27" s="225"/>
      <c r="I27" s="1">
        <v>21</v>
      </c>
      <c r="J27" s="123">
        <f>204286+13464868+250007+61012475+16030</f>
        <v>74947666</v>
      </c>
      <c r="K27" s="123">
        <f>204286+13464868+250007+61012475+9188116</f>
        <v>84119752</v>
      </c>
    </row>
    <row r="28" spans="1:11" ht="12.75">
      <c r="A28" s="223" t="s">
        <v>58</v>
      </c>
      <c r="B28" s="224"/>
      <c r="C28" s="224"/>
      <c r="D28" s="224"/>
      <c r="E28" s="224"/>
      <c r="F28" s="224"/>
      <c r="G28" s="224"/>
      <c r="H28" s="225"/>
      <c r="I28" s="1">
        <v>22</v>
      </c>
      <c r="J28" s="123">
        <f>8068307+7530420+23061911+14818138</f>
        <v>53478776</v>
      </c>
      <c r="K28" s="123">
        <f>7506917+7506917+22168864+15714972</f>
        <v>52897670</v>
      </c>
    </row>
    <row r="29" spans="1:11" ht="12.75">
      <c r="A29" s="223" t="s">
        <v>59</v>
      </c>
      <c r="B29" s="224"/>
      <c r="C29" s="224"/>
      <c r="D29" s="224"/>
      <c r="E29" s="224"/>
      <c r="F29" s="224"/>
      <c r="G29" s="224"/>
      <c r="H29" s="225"/>
      <c r="I29" s="1">
        <v>23</v>
      </c>
      <c r="J29" s="123">
        <f>21755155+335942+30220288</f>
        <v>52311385</v>
      </c>
      <c r="K29" s="123">
        <f>21755155+335942+30220288</f>
        <v>52311385</v>
      </c>
    </row>
    <row r="30" spans="1:11" ht="12.75">
      <c r="A30" s="223" t="s">
        <v>64</v>
      </c>
      <c r="B30" s="224"/>
      <c r="C30" s="224"/>
      <c r="D30" s="224"/>
      <c r="E30" s="224"/>
      <c r="F30" s="224"/>
      <c r="G30" s="224"/>
      <c r="H30" s="225"/>
      <c r="I30" s="1">
        <v>24</v>
      </c>
      <c r="J30" s="123">
        <v>53309155</v>
      </c>
      <c r="K30" s="123">
        <v>56535570</v>
      </c>
    </row>
    <row r="31" spans="1:11" ht="12.75">
      <c r="A31" s="223" t="s">
        <v>65</v>
      </c>
      <c r="B31" s="224"/>
      <c r="C31" s="224"/>
      <c r="D31" s="224"/>
      <c r="E31" s="224"/>
      <c r="F31" s="224"/>
      <c r="G31" s="224"/>
      <c r="H31" s="225"/>
      <c r="I31" s="1">
        <v>25</v>
      </c>
      <c r="J31" s="123">
        <f>2155+61700</f>
        <v>63855</v>
      </c>
      <c r="K31" s="123">
        <f>2155+61700</f>
        <v>63855</v>
      </c>
    </row>
    <row r="32" spans="1:11" ht="12.75">
      <c r="A32" s="223" t="s">
        <v>66</v>
      </c>
      <c r="B32" s="224"/>
      <c r="C32" s="224"/>
      <c r="D32" s="224"/>
      <c r="E32" s="224"/>
      <c r="F32" s="224"/>
      <c r="G32" s="224"/>
      <c r="H32" s="225"/>
      <c r="I32" s="1">
        <v>26</v>
      </c>
      <c r="J32" s="123">
        <f>377977+24298501+62094</f>
        <v>24738572</v>
      </c>
      <c r="K32" s="123">
        <f>376797+24222664+61900</f>
        <v>24661361</v>
      </c>
    </row>
    <row r="33" spans="1:11" ht="12.75">
      <c r="A33" s="223" t="s">
        <v>60</v>
      </c>
      <c r="B33" s="224"/>
      <c r="C33" s="224"/>
      <c r="D33" s="224"/>
      <c r="E33" s="224"/>
      <c r="F33" s="224"/>
      <c r="G33" s="224"/>
      <c r="H33" s="225"/>
      <c r="I33" s="1">
        <v>27</v>
      </c>
      <c r="J33" s="123"/>
      <c r="K33" s="123"/>
    </row>
    <row r="34" spans="1:11" ht="12.75">
      <c r="A34" s="223" t="s">
        <v>142</v>
      </c>
      <c r="B34" s="224"/>
      <c r="C34" s="224"/>
      <c r="D34" s="224"/>
      <c r="E34" s="224"/>
      <c r="F34" s="224"/>
      <c r="G34" s="224"/>
      <c r="H34" s="225"/>
      <c r="I34" s="1">
        <v>28</v>
      </c>
      <c r="J34" s="123"/>
      <c r="K34" s="123"/>
    </row>
    <row r="35" spans="1:11" ht="12.75">
      <c r="A35" s="226" t="s">
        <v>143</v>
      </c>
      <c r="B35" s="227"/>
      <c r="C35" s="227"/>
      <c r="D35" s="227"/>
      <c r="E35" s="227"/>
      <c r="F35" s="227"/>
      <c r="G35" s="227"/>
      <c r="H35" s="228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3" t="s">
        <v>61</v>
      </c>
      <c r="B36" s="224"/>
      <c r="C36" s="224"/>
      <c r="D36" s="224"/>
      <c r="E36" s="224"/>
      <c r="F36" s="224"/>
      <c r="G36" s="224"/>
      <c r="H36" s="225"/>
      <c r="I36" s="1">
        <v>30</v>
      </c>
      <c r="J36" s="123"/>
      <c r="K36" s="123"/>
    </row>
    <row r="37" spans="1:11" ht="12.75">
      <c r="A37" s="223" t="s">
        <v>62</v>
      </c>
      <c r="B37" s="224"/>
      <c r="C37" s="224"/>
      <c r="D37" s="224"/>
      <c r="E37" s="224"/>
      <c r="F37" s="224"/>
      <c r="G37" s="224"/>
      <c r="H37" s="225"/>
      <c r="I37" s="1">
        <v>31</v>
      </c>
      <c r="J37" s="123"/>
      <c r="K37" s="123"/>
    </row>
    <row r="38" spans="1:11" ht="12.75">
      <c r="A38" s="223" t="s">
        <v>63</v>
      </c>
      <c r="B38" s="224"/>
      <c r="C38" s="224"/>
      <c r="D38" s="224"/>
      <c r="E38" s="224"/>
      <c r="F38" s="224"/>
      <c r="G38" s="224"/>
      <c r="H38" s="225"/>
      <c r="I38" s="1">
        <v>32</v>
      </c>
      <c r="J38" s="123"/>
      <c r="K38" s="123"/>
    </row>
    <row r="39" spans="1:11" ht="12.75">
      <c r="A39" s="226" t="s">
        <v>144</v>
      </c>
      <c r="B39" s="227"/>
      <c r="C39" s="227"/>
      <c r="D39" s="227"/>
      <c r="E39" s="227"/>
      <c r="F39" s="227"/>
      <c r="G39" s="227"/>
      <c r="H39" s="228"/>
      <c r="I39" s="1">
        <v>33</v>
      </c>
      <c r="J39" s="124">
        <v>887629</v>
      </c>
      <c r="K39" s="124">
        <v>887629</v>
      </c>
    </row>
    <row r="40" spans="1:11" ht="12.75">
      <c r="A40" s="226" t="s">
        <v>283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5">
        <f>+J41+J49+J56+J64</f>
        <v>271636937</v>
      </c>
      <c r="K40" s="125">
        <f>+K41+K49+K56+K64</f>
        <v>283358684</v>
      </c>
    </row>
    <row r="41" spans="1:11" ht="12.75">
      <c r="A41" s="226" t="s">
        <v>81</v>
      </c>
      <c r="B41" s="227"/>
      <c r="C41" s="227"/>
      <c r="D41" s="227"/>
      <c r="E41" s="227"/>
      <c r="F41" s="227"/>
      <c r="G41" s="227"/>
      <c r="H41" s="228"/>
      <c r="I41" s="1">
        <v>35</v>
      </c>
      <c r="J41" s="125">
        <f>SUM(J42:J48)</f>
        <v>34962353</v>
      </c>
      <c r="K41" s="125">
        <f>SUM(K42:K48)</f>
        <v>25415209</v>
      </c>
    </row>
    <row r="42" spans="1:11" ht="12.75">
      <c r="A42" s="223" t="s">
        <v>93</v>
      </c>
      <c r="B42" s="224"/>
      <c r="C42" s="224"/>
      <c r="D42" s="224"/>
      <c r="E42" s="224"/>
      <c r="F42" s="224"/>
      <c r="G42" s="224"/>
      <c r="H42" s="225"/>
      <c r="I42" s="1">
        <v>36</v>
      </c>
      <c r="J42" s="123">
        <v>23698027</v>
      </c>
      <c r="K42" s="123">
        <v>17137560</v>
      </c>
    </row>
    <row r="43" spans="1:11" ht="12.75">
      <c r="A43" s="223" t="s">
        <v>94</v>
      </c>
      <c r="B43" s="224"/>
      <c r="C43" s="224"/>
      <c r="D43" s="224"/>
      <c r="E43" s="224"/>
      <c r="F43" s="224"/>
      <c r="G43" s="224"/>
      <c r="H43" s="225"/>
      <c r="I43" s="1">
        <v>37</v>
      </c>
      <c r="J43" s="123">
        <v>2333615</v>
      </c>
      <c r="K43" s="123">
        <v>1833221</v>
      </c>
    </row>
    <row r="44" spans="1:11" ht="12.75">
      <c r="A44" s="223" t="s">
        <v>67</v>
      </c>
      <c r="B44" s="224"/>
      <c r="C44" s="224"/>
      <c r="D44" s="224"/>
      <c r="E44" s="224"/>
      <c r="F44" s="224"/>
      <c r="G44" s="224"/>
      <c r="H44" s="225"/>
      <c r="I44" s="1">
        <v>38</v>
      </c>
      <c r="J44" s="123">
        <v>8849908</v>
      </c>
      <c r="K44" s="123">
        <f>6556137-111709</f>
        <v>6444428</v>
      </c>
    </row>
    <row r="45" spans="1:11" ht="12.75">
      <c r="A45" s="223" t="s">
        <v>68</v>
      </c>
      <c r="B45" s="224"/>
      <c r="C45" s="224"/>
      <c r="D45" s="224"/>
      <c r="E45" s="224"/>
      <c r="F45" s="224"/>
      <c r="G45" s="224"/>
      <c r="H45" s="225"/>
      <c r="I45" s="1">
        <v>39</v>
      </c>
      <c r="J45" s="123">
        <v>80803</v>
      </c>
      <c r="K45" s="123"/>
    </row>
    <row r="46" spans="1:11" ht="12.75">
      <c r="A46" s="223" t="s">
        <v>69</v>
      </c>
      <c r="B46" s="224"/>
      <c r="C46" s="224"/>
      <c r="D46" s="224"/>
      <c r="E46" s="224"/>
      <c r="F46" s="224"/>
      <c r="G46" s="224"/>
      <c r="H46" s="225"/>
      <c r="I46" s="1">
        <v>40</v>
      </c>
      <c r="J46" s="123"/>
      <c r="K46" s="123"/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5"/>
      <c r="I47" s="1">
        <v>41</v>
      </c>
      <c r="J47" s="123"/>
      <c r="K47" s="123"/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5"/>
      <c r="I48" s="1">
        <v>42</v>
      </c>
      <c r="J48" s="123"/>
      <c r="K48" s="123"/>
    </row>
    <row r="49" spans="1:11" ht="12.75">
      <c r="A49" s="226" t="s">
        <v>82</v>
      </c>
      <c r="B49" s="227"/>
      <c r="C49" s="227"/>
      <c r="D49" s="227"/>
      <c r="E49" s="227"/>
      <c r="F49" s="227"/>
      <c r="G49" s="227"/>
      <c r="H49" s="228"/>
      <c r="I49" s="1">
        <v>43</v>
      </c>
      <c r="J49" s="125">
        <f>SUM(J50:J55)</f>
        <v>172651281</v>
      </c>
      <c r="K49" s="125">
        <f>SUM(K50:K55)</f>
        <v>198798411</v>
      </c>
    </row>
    <row r="50" spans="1:11" ht="12.75">
      <c r="A50" s="223" t="s">
        <v>155</v>
      </c>
      <c r="B50" s="224"/>
      <c r="C50" s="224"/>
      <c r="D50" s="224"/>
      <c r="E50" s="224"/>
      <c r="F50" s="224"/>
      <c r="G50" s="224"/>
      <c r="H50" s="225"/>
      <c r="I50" s="1">
        <v>44</v>
      </c>
      <c r="J50" s="123">
        <f>34765383+9503173+17365753</f>
        <v>61634309</v>
      </c>
      <c r="K50" s="123">
        <f>52993647+11594560+280186+7110344</f>
        <v>71978737</v>
      </c>
    </row>
    <row r="51" spans="1:11" ht="12.75">
      <c r="A51" s="223" t="s">
        <v>156</v>
      </c>
      <c r="B51" s="224"/>
      <c r="C51" s="224"/>
      <c r="D51" s="224"/>
      <c r="E51" s="224"/>
      <c r="F51" s="224"/>
      <c r="G51" s="224"/>
      <c r="H51" s="225"/>
      <c r="I51" s="1">
        <v>45</v>
      </c>
      <c r="J51" s="123">
        <f>122952848-34765383-17365753-6910970-4549006</f>
        <v>59361736</v>
      </c>
      <c r="K51" s="123">
        <f>145832588-K50-K52+7110344</f>
        <v>69317692</v>
      </c>
    </row>
    <row r="52" spans="1:11" ht="12.75">
      <c r="A52" s="223" t="s">
        <v>157</v>
      </c>
      <c r="B52" s="224"/>
      <c r="C52" s="224"/>
      <c r="D52" s="224"/>
      <c r="E52" s="224"/>
      <c r="F52" s="224"/>
      <c r="G52" s="224"/>
      <c r="H52" s="225"/>
      <c r="I52" s="1">
        <v>46</v>
      </c>
      <c r="J52" s="123">
        <f>6910970+4549006</f>
        <v>11459976</v>
      </c>
      <c r="K52" s="123">
        <f>2307524+9338979</f>
        <v>11646503</v>
      </c>
    </row>
    <row r="53" spans="1:11" ht="12.75">
      <c r="A53" s="223" t="s">
        <v>158</v>
      </c>
      <c r="B53" s="224"/>
      <c r="C53" s="224"/>
      <c r="D53" s="224"/>
      <c r="E53" s="224"/>
      <c r="F53" s="224"/>
      <c r="G53" s="224"/>
      <c r="H53" s="225"/>
      <c r="I53" s="1">
        <v>47</v>
      </c>
      <c r="J53" s="123">
        <f>38748+360102+652187+11283-652187</f>
        <v>410133</v>
      </c>
      <c r="K53" s="123">
        <f>55928+901142+652186+35617-652186</f>
        <v>992687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123">
        <f>17335902-J53</f>
        <v>16925769</v>
      </c>
      <c r="K54" s="123">
        <f>14617697-K53</f>
        <v>13625010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123">
        <f>22848606+9513925-9503173</f>
        <v>22859358</v>
      </c>
      <c r="K55" s="123">
        <f>31258068+7090058-7110344</f>
        <v>31237782</v>
      </c>
    </row>
    <row r="56" spans="1:11" ht="12.75">
      <c r="A56" s="226" t="s">
        <v>83</v>
      </c>
      <c r="B56" s="227"/>
      <c r="C56" s="227"/>
      <c r="D56" s="227"/>
      <c r="E56" s="227"/>
      <c r="F56" s="227"/>
      <c r="G56" s="227"/>
      <c r="H56" s="228"/>
      <c r="I56" s="1">
        <v>50</v>
      </c>
      <c r="J56" s="125">
        <f>SUM(J57:J63)</f>
        <v>62835622</v>
      </c>
      <c r="K56" s="125">
        <f>SUM(K57:K63)</f>
        <v>56954177</v>
      </c>
    </row>
    <row r="57" spans="1:11" ht="12.75">
      <c r="A57" s="223" t="s">
        <v>57</v>
      </c>
      <c r="B57" s="224"/>
      <c r="C57" s="224"/>
      <c r="D57" s="224"/>
      <c r="E57" s="224"/>
      <c r="F57" s="224"/>
      <c r="G57" s="224"/>
      <c r="H57" s="225"/>
      <c r="I57" s="1">
        <v>51</v>
      </c>
      <c r="J57" s="123"/>
      <c r="K57" s="123"/>
    </row>
    <row r="58" spans="1:11" ht="12.75">
      <c r="A58" s="223" t="s">
        <v>58</v>
      </c>
      <c r="B58" s="224"/>
      <c r="C58" s="224"/>
      <c r="D58" s="224"/>
      <c r="E58" s="224"/>
      <c r="F58" s="224"/>
      <c r="G58" s="224"/>
      <c r="H58" s="225"/>
      <c r="I58" s="1">
        <v>52</v>
      </c>
      <c r="J58" s="123">
        <v>2161231</v>
      </c>
      <c r="K58" s="123">
        <v>7859742</v>
      </c>
    </row>
    <row r="59" spans="1:11" ht="12.75">
      <c r="A59" s="223" t="s">
        <v>189</v>
      </c>
      <c r="B59" s="224"/>
      <c r="C59" s="224"/>
      <c r="D59" s="224"/>
      <c r="E59" s="224"/>
      <c r="F59" s="224"/>
      <c r="G59" s="224"/>
      <c r="H59" s="225"/>
      <c r="I59" s="1">
        <v>53</v>
      </c>
      <c r="J59" s="123"/>
      <c r="K59" s="123"/>
    </row>
    <row r="60" spans="1:11" ht="12.75">
      <c r="A60" s="223" t="s">
        <v>64</v>
      </c>
      <c r="B60" s="224"/>
      <c r="C60" s="224"/>
      <c r="D60" s="224"/>
      <c r="E60" s="224"/>
      <c r="F60" s="224"/>
      <c r="G60" s="224"/>
      <c r="H60" s="225"/>
      <c r="I60" s="1">
        <v>54</v>
      </c>
      <c r="J60" s="123">
        <v>14977162</v>
      </c>
      <c r="K60" s="123">
        <v>18949956</v>
      </c>
    </row>
    <row r="61" spans="1:11" ht="12.75">
      <c r="A61" s="223" t="s">
        <v>65</v>
      </c>
      <c r="B61" s="224"/>
      <c r="C61" s="224"/>
      <c r="D61" s="224"/>
      <c r="E61" s="224"/>
      <c r="F61" s="224"/>
      <c r="G61" s="224"/>
      <c r="H61" s="225"/>
      <c r="I61" s="1">
        <v>55</v>
      </c>
      <c r="J61" s="123"/>
      <c r="K61" s="123"/>
    </row>
    <row r="62" spans="1:11" ht="12.75">
      <c r="A62" s="223" t="s">
        <v>66</v>
      </c>
      <c r="B62" s="224"/>
      <c r="C62" s="224"/>
      <c r="D62" s="224"/>
      <c r="E62" s="224"/>
      <c r="F62" s="224"/>
      <c r="G62" s="224"/>
      <c r="H62" s="225"/>
      <c r="I62" s="1">
        <v>56</v>
      </c>
      <c r="J62" s="123">
        <f>62835622-J58-J60</f>
        <v>45697229</v>
      </c>
      <c r="K62" s="123">
        <f>56954177-K58-K60</f>
        <v>30144479</v>
      </c>
    </row>
    <row r="63" spans="1:11" ht="12.75">
      <c r="A63" s="223" t="s">
        <v>30</v>
      </c>
      <c r="B63" s="224"/>
      <c r="C63" s="224"/>
      <c r="D63" s="224"/>
      <c r="E63" s="224"/>
      <c r="F63" s="224"/>
      <c r="G63" s="224"/>
      <c r="H63" s="225"/>
      <c r="I63" s="1">
        <v>57</v>
      </c>
      <c r="J63" s="123"/>
      <c r="K63" s="123"/>
    </row>
    <row r="64" spans="1:11" ht="12.75">
      <c r="A64" s="226" t="s">
        <v>162</v>
      </c>
      <c r="B64" s="227"/>
      <c r="C64" s="227"/>
      <c r="D64" s="227"/>
      <c r="E64" s="227"/>
      <c r="F64" s="227"/>
      <c r="G64" s="227"/>
      <c r="H64" s="228"/>
      <c r="I64" s="1">
        <v>58</v>
      </c>
      <c r="J64" s="124">
        <v>1187681</v>
      </c>
      <c r="K64" s="124">
        <v>2190887</v>
      </c>
    </row>
    <row r="65" spans="1:11" ht="12.75">
      <c r="A65" s="226" t="s">
        <v>37</v>
      </c>
      <c r="B65" s="227"/>
      <c r="C65" s="227"/>
      <c r="D65" s="227"/>
      <c r="E65" s="227"/>
      <c r="F65" s="227"/>
      <c r="G65" s="227"/>
      <c r="H65" s="228"/>
      <c r="I65" s="1">
        <v>59</v>
      </c>
      <c r="J65" s="124">
        <v>116103331</v>
      </c>
      <c r="K65" s="124">
        <v>114930388</v>
      </c>
    </row>
    <row r="66" spans="1:11" ht="12.75">
      <c r="A66" s="226" t="s">
        <v>284</v>
      </c>
      <c r="B66" s="227"/>
      <c r="C66" s="227"/>
      <c r="D66" s="227"/>
      <c r="E66" s="227"/>
      <c r="F66" s="227"/>
      <c r="G66" s="227"/>
      <c r="H66" s="228"/>
      <c r="I66" s="1">
        <v>60</v>
      </c>
      <c r="J66" s="125">
        <f>+J7+J8+J40+J65</f>
        <v>1109140157</v>
      </c>
      <c r="K66" s="125">
        <f>+K7+K8+K40+K65</f>
        <v>1124860488</v>
      </c>
    </row>
    <row r="67" spans="1:11" ht="12.75">
      <c r="A67" s="238" t="s">
        <v>72</v>
      </c>
      <c r="B67" s="239"/>
      <c r="C67" s="239"/>
      <c r="D67" s="239"/>
      <c r="E67" s="239"/>
      <c r="F67" s="239"/>
      <c r="G67" s="239"/>
      <c r="H67" s="240"/>
      <c r="I67" s="4">
        <v>61</v>
      </c>
      <c r="J67" s="126">
        <f>671823+3920719</f>
        <v>4592542</v>
      </c>
      <c r="K67" s="126">
        <f>671823+3920719</f>
        <v>4592542</v>
      </c>
    </row>
    <row r="68" spans="1:11" ht="12.75">
      <c r="A68" s="215" t="s">
        <v>39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285</v>
      </c>
      <c r="B69" s="220"/>
      <c r="C69" s="220"/>
      <c r="D69" s="220"/>
      <c r="E69" s="220"/>
      <c r="F69" s="220"/>
      <c r="G69" s="220"/>
      <c r="H69" s="237"/>
      <c r="I69" s="3">
        <v>62</v>
      </c>
      <c r="J69" s="127">
        <f>J70+J71+J72+J78+J79+J82+J85</f>
        <v>671856988</v>
      </c>
      <c r="K69" s="127">
        <f>K70+K71+K72+K78+K79+K82+K85</f>
        <v>682360599</v>
      </c>
    </row>
    <row r="70" spans="1:11" ht="12.75">
      <c r="A70" s="226" t="s">
        <v>107</v>
      </c>
      <c r="B70" s="227"/>
      <c r="C70" s="227"/>
      <c r="D70" s="227"/>
      <c r="E70" s="227"/>
      <c r="F70" s="227"/>
      <c r="G70" s="227"/>
      <c r="H70" s="228"/>
      <c r="I70" s="1">
        <v>63</v>
      </c>
      <c r="J70" s="123">
        <v>419958400</v>
      </c>
      <c r="K70" s="123">
        <v>419958400</v>
      </c>
    </row>
    <row r="71" spans="1:11" ht="12.75">
      <c r="A71" s="226" t="s">
        <v>108</v>
      </c>
      <c r="B71" s="227"/>
      <c r="C71" s="227"/>
      <c r="D71" s="227"/>
      <c r="E71" s="227"/>
      <c r="F71" s="227"/>
      <c r="G71" s="227"/>
      <c r="H71" s="228"/>
      <c r="I71" s="1">
        <v>64</v>
      </c>
      <c r="J71" s="123">
        <v>183075797</v>
      </c>
      <c r="K71" s="123">
        <v>183075797</v>
      </c>
    </row>
    <row r="72" spans="1:11" ht="12.75">
      <c r="A72" s="226" t="s">
        <v>109</v>
      </c>
      <c r="B72" s="227"/>
      <c r="C72" s="227"/>
      <c r="D72" s="227"/>
      <c r="E72" s="227"/>
      <c r="F72" s="227"/>
      <c r="G72" s="227"/>
      <c r="H72" s="228"/>
      <c r="I72" s="1">
        <v>65</v>
      </c>
      <c r="J72" s="129">
        <f>J73+J74-J75+J76+J77</f>
        <v>6801736</v>
      </c>
      <c r="K72" s="129">
        <f>K73+K74-K75+K76+K77</f>
        <v>6801736</v>
      </c>
    </row>
    <row r="73" spans="1:11" ht="12.75">
      <c r="A73" s="223" t="s">
        <v>110</v>
      </c>
      <c r="B73" s="224"/>
      <c r="C73" s="224"/>
      <c r="D73" s="224"/>
      <c r="E73" s="224"/>
      <c r="F73" s="224"/>
      <c r="G73" s="224"/>
      <c r="H73" s="225"/>
      <c r="I73" s="1">
        <v>66</v>
      </c>
      <c r="J73" s="123">
        <v>6128852</v>
      </c>
      <c r="K73" s="123">
        <v>6128852</v>
      </c>
    </row>
    <row r="74" spans="1:11" ht="12.75">
      <c r="A74" s="223" t="s">
        <v>111</v>
      </c>
      <c r="B74" s="224"/>
      <c r="C74" s="224"/>
      <c r="D74" s="224"/>
      <c r="E74" s="224"/>
      <c r="F74" s="224"/>
      <c r="G74" s="224"/>
      <c r="H74" s="225"/>
      <c r="I74" s="1">
        <v>67</v>
      </c>
      <c r="J74" s="123">
        <v>378455</v>
      </c>
      <c r="K74" s="123">
        <v>378455</v>
      </c>
    </row>
    <row r="75" spans="1:11" ht="12.75">
      <c r="A75" s="223" t="s">
        <v>99</v>
      </c>
      <c r="B75" s="224"/>
      <c r="C75" s="224"/>
      <c r="D75" s="224"/>
      <c r="E75" s="224"/>
      <c r="F75" s="224"/>
      <c r="G75" s="224"/>
      <c r="H75" s="225"/>
      <c r="I75" s="1">
        <v>68</v>
      </c>
      <c r="J75" s="123">
        <v>378455</v>
      </c>
      <c r="K75" s="123">
        <v>378455</v>
      </c>
    </row>
    <row r="76" spans="1:11" ht="12.75">
      <c r="A76" s="223" t="s">
        <v>100</v>
      </c>
      <c r="B76" s="224"/>
      <c r="C76" s="224"/>
      <c r="D76" s="224"/>
      <c r="E76" s="224"/>
      <c r="F76" s="224"/>
      <c r="G76" s="224"/>
      <c r="H76" s="225"/>
      <c r="I76" s="1">
        <v>69</v>
      </c>
      <c r="J76" s="123"/>
      <c r="K76" s="123"/>
    </row>
    <row r="77" spans="1:11" ht="12.75">
      <c r="A77" s="223" t="s">
        <v>101</v>
      </c>
      <c r="B77" s="224"/>
      <c r="C77" s="224"/>
      <c r="D77" s="224"/>
      <c r="E77" s="224"/>
      <c r="F77" s="224"/>
      <c r="G77" s="224"/>
      <c r="H77" s="225"/>
      <c r="I77" s="1">
        <v>70</v>
      </c>
      <c r="J77" s="123">
        <v>672884</v>
      </c>
      <c r="K77" s="123">
        <v>672884</v>
      </c>
    </row>
    <row r="78" spans="1:11" ht="12.75">
      <c r="A78" s="226" t="s">
        <v>102</v>
      </c>
      <c r="B78" s="227"/>
      <c r="C78" s="227"/>
      <c r="D78" s="227"/>
      <c r="E78" s="227"/>
      <c r="F78" s="227"/>
      <c r="G78" s="227"/>
      <c r="H78" s="228"/>
      <c r="I78" s="1">
        <v>71</v>
      </c>
      <c r="J78" s="123">
        <f>8489504+2640+1066831+626378</f>
        <v>10185353</v>
      </c>
      <c r="K78" s="123">
        <f>+8489504+2640+1066831+626378</f>
        <v>10185353</v>
      </c>
    </row>
    <row r="79" spans="1:11" ht="12.75">
      <c r="A79" s="226" t="s">
        <v>187</v>
      </c>
      <c r="B79" s="227"/>
      <c r="C79" s="227"/>
      <c r="D79" s="227"/>
      <c r="E79" s="227"/>
      <c r="F79" s="227"/>
      <c r="G79" s="227"/>
      <c r="H79" s="228"/>
      <c r="I79" s="1">
        <v>72</v>
      </c>
      <c r="J79" s="129">
        <f>J80-J81</f>
        <v>0</v>
      </c>
      <c r="K79" s="129">
        <f>K80-K81</f>
        <v>51835701</v>
      </c>
    </row>
    <row r="80" spans="1:11" ht="12.75">
      <c r="A80" s="234" t="s">
        <v>128</v>
      </c>
      <c r="B80" s="235"/>
      <c r="C80" s="235"/>
      <c r="D80" s="235"/>
      <c r="E80" s="235"/>
      <c r="F80" s="235"/>
      <c r="G80" s="235"/>
      <c r="H80" s="236"/>
      <c r="I80" s="1">
        <v>73</v>
      </c>
      <c r="J80" s="123"/>
      <c r="K80" s="123">
        <f>63034314-11198613</f>
        <v>51835701</v>
      </c>
    </row>
    <row r="81" spans="1:11" ht="12.75">
      <c r="A81" s="234" t="s">
        <v>129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/>
    </row>
    <row r="82" spans="1:11" ht="12.75">
      <c r="A82" s="226" t="s">
        <v>188</v>
      </c>
      <c r="B82" s="227"/>
      <c r="C82" s="227"/>
      <c r="D82" s="227"/>
      <c r="E82" s="227"/>
      <c r="F82" s="227"/>
      <c r="G82" s="227"/>
      <c r="H82" s="228"/>
      <c r="I82" s="1">
        <v>75</v>
      </c>
      <c r="J82" s="129">
        <f>J83-J84</f>
        <v>51835702</v>
      </c>
      <c r="K82" s="129">
        <f>K83-K84</f>
        <v>10503612</v>
      </c>
    </row>
    <row r="83" spans="1:11" ht="12.75">
      <c r="A83" s="234" t="s">
        <v>130</v>
      </c>
      <c r="B83" s="235"/>
      <c r="C83" s="235"/>
      <c r="D83" s="235"/>
      <c r="E83" s="235"/>
      <c r="F83" s="235"/>
      <c r="G83" s="235"/>
      <c r="H83" s="236"/>
      <c r="I83" s="1">
        <v>76</v>
      </c>
      <c r="J83" s="123">
        <v>51835702</v>
      </c>
      <c r="K83" s="123">
        <f>12366440-1167828-1095000+400000</f>
        <v>10503612</v>
      </c>
    </row>
    <row r="84" spans="1:11" ht="12.75">
      <c r="A84" s="234" t="s">
        <v>131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/>
      <c r="K84" s="7"/>
    </row>
    <row r="85" spans="1:11" ht="12.75">
      <c r="A85" s="226" t="s">
        <v>132</v>
      </c>
      <c r="B85" s="227"/>
      <c r="C85" s="227"/>
      <c r="D85" s="227"/>
      <c r="E85" s="227"/>
      <c r="F85" s="227"/>
      <c r="G85" s="227"/>
      <c r="H85" s="228"/>
      <c r="I85" s="1">
        <v>78</v>
      </c>
      <c r="J85" s="128"/>
      <c r="K85" s="128"/>
    </row>
    <row r="86" spans="1:11" ht="12.75">
      <c r="A86" s="226" t="s">
        <v>286</v>
      </c>
      <c r="B86" s="227"/>
      <c r="C86" s="227"/>
      <c r="D86" s="227"/>
      <c r="E86" s="227"/>
      <c r="F86" s="227"/>
      <c r="G86" s="227"/>
      <c r="H86" s="228"/>
      <c r="I86" s="1">
        <v>79</v>
      </c>
      <c r="J86" s="129">
        <f>SUM(J87:J89)</f>
        <v>12744194</v>
      </c>
      <c r="K86" s="129">
        <f>SUM(K87:K89)</f>
        <v>11694194</v>
      </c>
    </row>
    <row r="87" spans="1:11" ht="12.75">
      <c r="A87" s="223" t="s">
        <v>95</v>
      </c>
      <c r="B87" s="224"/>
      <c r="C87" s="224"/>
      <c r="D87" s="224"/>
      <c r="E87" s="224"/>
      <c r="F87" s="224"/>
      <c r="G87" s="224"/>
      <c r="H87" s="225"/>
      <c r="I87" s="1">
        <v>80</v>
      </c>
      <c r="J87" s="123">
        <f>3388145+1050000</f>
        <v>4438145</v>
      </c>
      <c r="K87" s="123">
        <v>3388145</v>
      </c>
    </row>
    <row r="88" spans="1:11" ht="12.75">
      <c r="A88" s="223" t="s">
        <v>96</v>
      </c>
      <c r="B88" s="224"/>
      <c r="C88" s="224"/>
      <c r="D88" s="224"/>
      <c r="E88" s="224"/>
      <c r="F88" s="224"/>
      <c r="G88" s="224"/>
      <c r="H88" s="225"/>
      <c r="I88" s="1">
        <v>81</v>
      </c>
      <c r="J88" s="123"/>
      <c r="K88" s="123"/>
    </row>
    <row r="89" spans="1:11" ht="12.75">
      <c r="A89" s="223" t="s">
        <v>97</v>
      </c>
      <c r="B89" s="224"/>
      <c r="C89" s="224"/>
      <c r="D89" s="224"/>
      <c r="E89" s="224"/>
      <c r="F89" s="224"/>
      <c r="G89" s="224"/>
      <c r="H89" s="225"/>
      <c r="I89" s="1">
        <v>82</v>
      </c>
      <c r="J89" s="123">
        <f>2508086+1960000+3837963</f>
        <v>8306049</v>
      </c>
      <c r="K89" s="123">
        <f>2508086+1960000+3837963</f>
        <v>8306049</v>
      </c>
    </row>
    <row r="90" spans="1:11" ht="12.75">
      <c r="A90" s="226" t="s">
        <v>287</v>
      </c>
      <c r="B90" s="227"/>
      <c r="C90" s="227"/>
      <c r="D90" s="227"/>
      <c r="E90" s="227"/>
      <c r="F90" s="227"/>
      <c r="G90" s="227"/>
      <c r="H90" s="228"/>
      <c r="I90" s="1">
        <v>83</v>
      </c>
      <c r="J90" s="129">
        <f>SUM(J91:J99)</f>
        <v>79841681</v>
      </c>
      <c r="K90" s="129">
        <f>SUM(K91:K99)</f>
        <v>79649935</v>
      </c>
    </row>
    <row r="91" spans="1:11" ht="12.75">
      <c r="A91" s="223" t="s">
        <v>98</v>
      </c>
      <c r="B91" s="224"/>
      <c r="C91" s="224"/>
      <c r="D91" s="224"/>
      <c r="E91" s="224"/>
      <c r="F91" s="224"/>
      <c r="G91" s="224"/>
      <c r="H91" s="225"/>
      <c r="I91" s="1">
        <v>84</v>
      </c>
      <c r="J91" s="123"/>
      <c r="K91" s="123"/>
    </row>
    <row r="92" spans="1:11" ht="12.75">
      <c r="A92" s="223" t="s">
        <v>190</v>
      </c>
      <c r="B92" s="224"/>
      <c r="C92" s="224"/>
      <c r="D92" s="224"/>
      <c r="E92" s="224"/>
      <c r="F92" s="224"/>
      <c r="G92" s="224"/>
      <c r="H92" s="225"/>
      <c r="I92" s="1">
        <v>85</v>
      </c>
      <c r="J92" s="123"/>
      <c r="K92" s="123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123">
        <v>79841681</v>
      </c>
      <c r="K93" s="123">
        <v>79649935</v>
      </c>
    </row>
    <row r="94" spans="1:11" ht="12.75">
      <c r="A94" s="223" t="s">
        <v>191</v>
      </c>
      <c r="B94" s="224"/>
      <c r="C94" s="224"/>
      <c r="D94" s="224"/>
      <c r="E94" s="224"/>
      <c r="F94" s="224"/>
      <c r="G94" s="224"/>
      <c r="H94" s="225"/>
      <c r="I94" s="1">
        <v>87</v>
      </c>
      <c r="J94" s="123"/>
      <c r="K94" s="123"/>
    </row>
    <row r="95" spans="1:11" ht="12.75">
      <c r="A95" s="223" t="s">
        <v>192</v>
      </c>
      <c r="B95" s="224"/>
      <c r="C95" s="224"/>
      <c r="D95" s="224"/>
      <c r="E95" s="224"/>
      <c r="F95" s="224"/>
      <c r="G95" s="224"/>
      <c r="H95" s="225"/>
      <c r="I95" s="1">
        <v>88</v>
      </c>
      <c r="J95" s="123"/>
      <c r="K95" s="123"/>
    </row>
    <row r="96" spans="1:11" ht="12.75">
      <c r="A96" s="223" t="s">
        <v>193</v>
      </c>
      <c r="B96" s="224"/>
      <c r="C96" s="224"/>
      <c r="D96" s="224"/>
      <c r="E96" s="224"/>
      <c r="F96" s="224"/>
      <c r="G96" s="224"/>
      <c r="H96" s="225"/>
      <c r="I96" s="1">
        <v>89</v>
      </c>
      <c r="J96" s="123"/>
      <c r="K96" s="123"/>
    </row>
    <row r="97" spans="1:11" ht="12.75">
      <c r="A97" s="223" t="s">
        <v>75</v>
      </c>
      <c r="B97" s="224"/>
      <c r="C97" s="224"/>
      <c r="D97" s="224"/>
      <c r="E97" s="224"/>
      <c r="F97" s="224"/>
      <c r="G97" s="224"/>
      <c r="H97" s="225"/>
      <c r="I97" s="1">
        <v>90</v>
      </c>
      <c r="J97" s="123"/>
      <c r="K97" s="123"/>
    </row>
    <row r="98" spans="1:11" ht="12.75">
      <c r="A98" s="223" t="s">
        <v>73</v>
      </c>
      <c r="B98" s="224"/>
      <c r="C98" s="224"/>
      <c r="D98" s="224"/>
      <c r="E98" s="224"/>
      <c r="F98" s="224"/>
      <c r="G98" s="224"/>
      <c r="H98" s="225"/>
      <c r="I98" s="1">
        <v>91</v>
      </c>
      <c r="J98" s="123"/>
      <c r="K98" s="123"/>
    </row>
    <row r="99" spans="1:11" ht="12.75">
      <c r="A99" s="223" t="s">
        <v>74</v>
      </c>
      <c r="B99" s="224"/>
      <c r="C99" s="224"/>
      <c r="D99" s="224"/>
      <c r="E99" s="224"/>
      <c r="F99" s="224"/>
      <c r="G99" s="224"/>
      <c r="H99" s="225"/>
      <c r="I99" s="1">
        <v>92</v>
      </c>
      <c r="J99" s="123"/>
      <c r="K99" s="123"/>
    </row>
    <row r="100" spans="1:11" ht="12.75">
      <c r="A100" s="226" t="s">
        <v>288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29">
        <f>SUM(J101:J112)</f>
        <v>342489331</v>
      </c>
      <c r="K100" s="129">
        <f>SUM(K101:K112)</f>
        <v>344070629</v>
      </c>
    </row>
    <row r="101" spans="1:11" ht="12.75">
      <c r="A101" s="223" t="s">
        <v>98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123">
        <f>212425+302351+32414990+7978+3003583</f>
        <v>35941327</v>
      </c>
      <c r="K101" s="123">
        <f>353997+302351+29750560+5680+3003583+37534585+85155</f>
        <v>71035911</v>
      </c>
    </row>
    <row r="102" spans="1:11" ht="12.75">
      <c r="A102" s="223" t="s">
        <v>190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123"/>
      <c r="K102" s="123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123">
        <f>124893205+442930-32414990</f>
        <v>92921145</v>
      </c>
      <c r="K103" s="123">
        <f>138161940-29750560-37534585</f>
        <v>70876795</v>
      </c>
    </row>
    <row r="104" spans="1:11" ht="12.75">
      <c r="A104" s="223" t="s">
        <v>191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123">
        <f>109717846-302351-3003583</f>
        <v>106411912</v>
      </c>
      <c r="K104" s="123">
        <f>113688772-302351-3003583</f>
        <v>110382838</v>
      </c>
    </row>
    <row r="105" spans="1:11" ht="12.75">
      <c r="A105" s="223" t="s">
        <v>192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123">
        <f>85163090-212425-7978-J107-442930</f>
        <v>84490786</v>
      </c>
      <c r="K105" s="123">
        <f>80585711-353998-5680-85155-K107-400000</f>
        <v>79726233</v>
      </c>
    </row>
    <row r="106" spans="1:11" ht="12.75">
      <c r="A106" s="223" t="s">
        <v>193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123"/>
      <c r="K106" s="123"/>
    </row>
    <row r="107" spans="1:11" ht="12.75">
      <c r="A107" s="223" t="s">
        <v>75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123">
        <v>8971</v>
      </c>
      <c r="K107" s="123">
        <v>14645</v>
      </c>
    </row>
    <row r="108" spans="1:11" ht="12.75">
      <c r="A108" s="223" t="s">
        <v>76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123">
        <f>59652+5720+241273+1244015+3000+2529</f>
        <v>1556189</v>
      </c>
      <c r="K108" s="123">
        <f>244125-3804+313568-3000+836652+23100+1600+4851173+143472</f>
        <v>6406886</v>
      </c>
    </row>
    <row r="109" spans="1:11" ht="12.75">
      <c r="A109" s="223" t="s">
        <v>77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123">
        <f>15012444+7702746-J108-J110</f>
        <v>20501126</v>
      </c>
      <c r="K109" s="123">
        <f>2658797+8280410-K108-K110+1095000</f>
        <v>4984491</v>
      </c>
    </row>
    <row r="110" spans="1:11" ht="12.75">
      <c r="A110" s="223" t="s">
        <v>80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123">
        <v>657875</v>
      </c>
      <c r="K110" s="123">
        <v>642830</v>
      </c>
    </row>
    <row r="111" spans="1:11" ht="12.75">
      <c r="A111" s="223" t="s">
        <v>78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123"/>
      <c r="K111" s="123"/>
    </row>
    <row r="112" spans="1:11" ht="12.75">
      <c r="A112" s="223" t="s">
        <v>79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123"/>
      <c r="K112" s="123"/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24">
        <f>11564012-J89-1050000</f>
        <v>2207963</v>
      </c>
      <c r="K113" s="124">
        <f>15391180-K89</f>
        <v>7085131</v>
      </c>
    </row>
    <row r="114" spans="1:11" ht="12.75">
      <c r="A114" s="226" t="s">
        <v>289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29">
        <f>J69+J86+J90+J100+J113</f>
        <v>1109140157</v>
      </c>
      <c r="K114" s="129">
        <f>K69+K86+K90+K100+K113</f>
        <v>1124860488</v>
      </c>
    </row>
    <row r="115" spans="1:11" ht="12.75">
      <c r="A115" s="212" t="s">
        <v>38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130">
        <f>+J67</f>
        <v>4592542</v>
      </c>
      <c r="K115" s="130">
        <f>+K67</f>
        <v>4592542</v>
      </c>
    </row>
    <row r="116" spans="1:11" ht="12.75">
      <c r="A116" s="215" t="s">
        <v>252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145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29" t="s">
        <v>4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253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  <row r="123" spans="10:11" ht="12.75">
      <c r="J123" s="139"/>
      <c r="K123" s="138"/>
    </row>
    <row r="124" spans="10:11" ht="12.75">
      <c r="J124" s="139"/>
      <c r="K124" s="138"/>
    </row>
    <row r="125" ht="12.75">
      <c r="J125" s="139"/>
    </row>
    <row r="126" ht="12.75">
      <c r="J126" s="139"/>
    </row>
    <row r="127" ht="12.75">
      <c r="J127" s="139"/>
    </row>
    <row r="128" ht="12.75">
      <c r="J128" s="13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66">
      <selection activeCell="J7" sqref="J7:M50"/>
    </sheetView>
  </sheetViews>
  <sheetFormatPr defaultColWidth="9.140625" defaultRowHeight="12.75"/>
  <cols>
    <col min="1" max="7" width="9.140625" style="48" customWidth="1"/>
    <col min="8" max="8" width="5.140625" style="48" customWidth="1"/>
    <col min="9" max="9" width="9.140625" style="48" customWidth="1"/>
    <col min="10" max="13" width="12.7109375" style="48" customWidth="1"/>
    <col min="14" max="16384" width="9.140625" style="48" customWidth="1"/>
  </cols>
  <sheetData>
    <row r="1" spans="1:13" ht="12.75" customHeight="1">
      <c r="A1" s="247" t="s">
        <v>118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290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281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70" t="s">
        <v>40</v>
      </c>
      <c r="B4" s="270"/>
      <c r="C4" s="270"/>
      <c r="D4" s="270"/>
      <c r="E4" s="270"/>
      <c r="F4" s="270"/>
      <c r="G4" s="270"/>
      <c r="H4" s="270"/>
      <c r="I4" s="53" t="s">
        <v>226</v>
      </c>
      <c r="J4" s="271" t="s">
        <v>260</v>
      </c>
      <c r="K4" s="271"/>
      <c r="L4" s="271" t="s">
        <v>261</v>
      </c>
      <c r="M4" s="271"/>
    </row>
    <row r="5" spans="1:13" ht="12.75">
      <c r="A5" s="270"/>
      <c r="B5" s="270"/>
      <c r="C5" s="270"/>
      <c r="D5" s="270"/>
      <c r="E5" s="270"/>
      <c r="F5" s="270"/>
      <c r="G5" s="270"/>
      <c r="H5" s="270"/>
      <c r="I5" s="53"/>
      <c r="J5" s="55" t="s">
        <v>256</v>
      </c>
      <c r="K5" s="55" t="s">
        <v>257</v>
      </c>
      <c r="L5" s="55" t="s">
        <v>256</v>
      </c>
      <c r="M5" s="55" t="s">
        <v>257</v>
      </c>
    </row>
    <row r="6" spans="1:13" ht="12.75">
      <c r="A6" s="271">
        <v>1</v>
      </c>
      <c r="B6" s="271"/>
      <c r="C6" s="271"/>
      <c r="D6" s="271"/>
      <c r="E6" s="271"/>
      <c r="F6" s="271"/>
      <c r="G6" s="271"/>
      <c r="H6" s="271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9" t="s">
        <v>291</v>
      </c>
      <c r="B7" s="220"/>
      <c r="C7" s="220"/>
      <c r="D7" s="220"/>
      <c r="E7" s="220"/>
      <c r="F7" s="220"/>
      <c r="G7" s="220"/>
      <c r="H7" s="237"/>
      <c r="I7" s="3">
        <v>111</v>
      </c>
      <c r="J7" s="127">
        <f>SUM(J8:J9)</f>
        <v>152852436</v>
      </c>
      <c r="K7" s="127">
        <f>SUM(K8:K9)</f>
        <v>152852436</v>
      </c>
      <c r="L7" s="127">
        <f>SUM(L8:L9)</f>
        <v>151046141</v>
      </c>
      <c r="M7" s="127">
        <f>SUM(M8:M9)</f>
        <v>151046141</v>
      </c>
    </row>
    <row r="8" spans="1:13" ht="12.75">
      <c r="A8" s="226" t="s">
        <v>116</v>
      </c>
      <c r="B8" s="227"/>
      <c r="C8" s="227"/>
      <c r="D8" s="227"/>
      <c r="E8" s="227"/>
      <c r="F8" s="227"/>
      <c r="G8" s="227"/>
      <c r="H8" s="228"/>
      <c r="I8" s="1">
        <v>112</v>
      </c>
      <c r="J8" s="123">
        <v>151350428</v>
      </c>
      <c r="K8" s="123">
        <v>151350428</v>
      </c>
      <c r="L8" s="123">
        <f>150610463+414745-L9+20933</f>
        <v>150800837</v>
      </c>
      <c r="M8" s="123">
        <f>150610463+414745-M9+20933</f>
        <v>150800837</v>
      </c>
    </row>
    <row r="9" spans="1:13" ht="12.75">
      <c r="A9" s="226" t="s">
        <v>84</v>
      </c>
      <c r="B9" s="227"/>
      <c r="C9" s="227"/>
      <c r="D9" s="227"/>
      <c r="E9" s="227"/>
      <c r="F9" s="227"/>
      <c r="G9" s="227"/>
      <c r="H9" s="228"/>
      <c r="I9" s="1">
        <v>113</v>
      </c>
      <c r="J9" s="123">
        <v>1502008</v>
      </c>
      <c r="K9" s="123">
        <v>1502008</v>
      </c>
      <c r="L9" s="123">
        <f>28860+174922+375+20214+20933</f>
        <v>245304</v>
      </c>
      <c r="M9" s="123">
        <f>28860+174922+375+20214+20933</f>
        <v>245304</v>
      </c>
    </row>
    <row r="10" spans="1:13" ht="12.75">
      <c r="A10" s="226" t="s">
        <v>292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29">
        <f>J11+J12+J16+J20+J21+J22+J25+J26</f>
        <v>137977714</v>
      </c>
      <c r="K10" s="129">
        <f>K11+K12+K16+K20+K21+K22+K25+K26</f>
        <v>137977714</v>
      </c>
      <c r="L10" s="129">
        <f>L11+L12+L16+L20+L21+L22+L25+L26</f>
        <v>140353709</v>
      </c>
      <c r="M10" s="129">
        <f>M11+M12+M16+M20+M21+M22+M25+M26</f>
        <v>140353709</v>
      </c>
    </row>
    <row r="11" spans="1:13" ht="12.75">
      <c r="A11" s="226" t="s">
        <v>85</v>
      </c>
      <c r="B11" s="227"/>
      <c r="C11" s="227"/>
      <c r="D11" s="227"/>
      <c r="E11" s="227"/>
      <c r="F11" s="227"/>
      <c r="G11" s="227"/>
      <c r="H11" s="228"/>
      <c r="I11" s="1">
        <v>115</v>
      </c>
      <c r="J11" s="123">
        <v>1793728</v>
      </c>
      <c r="K11" s="123">
        <v>1793728</v>
      </c>
      <c r="L11" s="123">
        <f>121930998-119136832</f>
        <v>2794166</v>
      </c>
      <c r="M11" s="123">
        <f>121930998-119136832</f>
        <v>2794166</v>
      </c>
    </row>
    <row r="12" spans="1:13" ht="12.75">
      <c r="A12" s="226" t="s">
        <v>293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29">
        <f>SUM(J13:J15)</f>
        <v>90535703</v>
      </c>
      <c r="K12" s="129">
        <f>SUM(K13:K15)</f>
        <v>90535703</v>
      </c>
      <c r="L12" s="129">
        <f>SUM(L13:L15)</f>
        <v>95067862</v>
      </c>
      <c r="M12" s="129">
        <f>SUM(M13:M15)</f>
        <v>95067862</v>
      </c>
    </row>
    <row r="13" spans="1:13" ht="12.75">
      <c r="A13" s="223" t="s">
        <v>112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123">
        <v>71243568</v>
      </c>
      <c r="K13" s="123">
        <v>71243568</v>
      </c>
      <c r="L13" s="123">
        <v>67462043</v>
      </c>
      <c r="M13" s="123">
        <v>67462043</v>
      </c>
    </row>
    <row r="14" spans="1:13" ht="12.75">
      <c r="A14" s="223" t="s">
        <v>113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123">
        <v>8176099</v>
      </c>
      <c r="K14" s="123">
        <v>8176099</v>
      </c>
      <c r="L14" s="123">
        <v>18445936</v>
      </c>
      <c r="M14" s="123">
        <v>18445936</v>
      </c>
    </row>
    <row r="15" spans="1:13" ht="12.75">
      <c r="A15" s="223" t="s">
        <v>42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123">
        <v>11116036</v>
      </c>
      <c r="K15" s="123">
        <v>11116036</v>
      </c>
      <c r="L15" s="123">
        <f>9559883-400000</f>
        <v>9159883</v>
      </c>
      <c r="M15" s="123">
        <f>9559883-400000</f>
        <v>9159883</v>
      </c>
    </row>
    <row r="16" spans="1:13" ht="12.75">
      <c r="A16" s="226" t="s">
        <v>294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29">
        <f>SUM(J17:J19)</f>
        <v>21968539</v>
      </c>
      <c r="K16" s="129">
        <f>SUM(K17:K19)</f>
        <v>21968539</v>
      </c>
      <c r="L16" s="129">
        <f>SUM(L17:L19)</f>
        <v>23482831</v>
      </c>
      <c r="M16" s="129">
        <f>SUM(M17:M19)</f>
        <v>23482831</v>
      </c>
    </row>
    <row r="17" spans="1:13" ht="12.75">
      <c r="A17" s="223" t="s">
        <v>43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141">
        <v>13181123</v>
      </c>
      <c r="K17" s="141">
        <v>13181123</v>
      </c>
      <c r="L17" s="141">
        <v>14089698</v>
      </c>
      <c r="M17" s="141">
        <v>14089698</v>
      </c>
    </row>
    <row r="18" spans="1:13" ht="12.75">
      <c r="A18" s="223" t="s">
        <v>44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141">
        <v>5492135</v>
      </c>
      <c r="K18" s="141">
        <v>5492135</v>
      </c>
      <c r="L18" s="141">
        <v>5870708</v>
      </c>
      <c r="M18" s="141">
        <v>5870708</v>
      </c>
    </row>
    <row r="19" spans="1:13" ht="12.75">
      <c r="A19" s="223" t="s">
        <v>45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141">
        <v>3295281</v>
      </c>
      <c r="K19" s="141">
        <v>3295281</v>
      </c>
      <c r="L19" s="141">
        <v>3522425</v>
      </c>
      <c r="M19" s="141">
        <v>3522425</v>
      </c>
    </row>
    <row r="20" spans="1:13" ht="12.75">
      <c r="A20" s="226" t="s">
        <v>86</v>
      </c>
      <c r="B20" s="227"/>
      <c r="C20" s="227"/>
      <c r="D20" s="227"/>
      <c r="E20" s="227"/>
      <c r="F20" s="227"/>
      <c r="G20" s="227"/>
      <c r="H20" s="228"/>
      <c r="I20" s="1">
        <v>124</v>
      </c>
      <c r="J20" s="123">
        <v>9853380</v>
      </c>
      <c r="K20" s="123">
        <v>9853380</v>
      </c>
      <c r="L20" s="123">
        <v>9874442</v>
      </c>
      <c r="M20" s="123">
        <v>9874442</v>
      </c>
    </row>
    <row r="21" spans="1:13" ht="12.75">
      <c r="A21" s="226" t="s">
        <v>87</v>
      </c>
      <c r="B21" s="227"/>
      <c r="C21" s="227"/>
      <c r="D21" s="227"/>
      <c r="E21" s="227"/>
      <c r="F21" s="227"/>
      <c r="G21" s="227"/>
      <c r="H21" s="228"/>
      <c r="I21" s="1">
        <v>125</v>
      </c>
      <c r="J21" s="123">
        <v>10283910</v>
      </c>
      <c r="K21" s="123">
        <v>10283910</v>
      </c>
      <c r="L21" s="123">
        <f>8639651+117983</f>
        <v>8757634</v>
      </c>
      <c r="M21" s="123">
        <f>8639651+117983</f>
        <v>8757634</v>
      </c>
    </row>
    <row r="22" spans="1:13" ht="12.75">
      <c r="A22" s="226" t="s">
        <v>295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29">
        <f>SUM(J23:J24)</f>
        <v>0</v>
      </c>
      <c r="K22" s="129">
        <f>SUM(K23:K24)</f>
        <v>0</v>
      </c>
      <c r="L22" s="129">
        <f>SUM(L23:L24)</f>
        <v>0</v>
      </c>
      <c r="M22" s="129">
        <f>SUM(M23:M24)</f>
        <v>0</v>
      </c>
    </row>
    <row r="23" spans="1:13" ht="12.75">
      <c r="A23" s="223" t="s">
        <v>103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104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6" t="s">
        <v>88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23"/>
      <c r="K25" s="123"/>
      <c r="L25" s="7"/>
      <c r="M25" s="7"/>
    </row>
    <row r="26" spans="1:13" ht="12.75">
      <c r="A26" s="226" t="s">
        <v>31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23">
        <v>3542454</v>
      </c>
      <c r="K26" s="123">
        <v>3542454</v>
      </c>
      <c r="L26" s="123">
        <v>376774</v>
      </c>
      <c r="M26" s="123">
        <v>376774</v>
      </c>
    </row>
    <row r="27" spans="1:13" ht="12.75">
      <c r="A27" s="226" t="s">
        <v>296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29">
        <f>SUM(J28:J32)</f>
        <v>32080066</v>
      </c>
      <c r="K27" s="129">
        <f>SUM(K28:K32)</f>
        <v>32080066</v>
      </c>
      <c r="L27" s="129">
        <f>SUM(L28:L32)</f>
        <v>10867691</v>
      </c>
      <c r="M27" s="129">
        <f>SUM(M28:M32)</f>
        <v>10867691</v>
      </c>
    </row>
    <row r="28" spans="1:13" ht="26.25" customHeight="1">
      <c r="A28" s="226" t="s">
        <v>178</v>
      </c>
      <c r="B28" s="227"/>
      <c r="C28" s="227"/>
      <c r="D28" s="227"/>
      <c r="E28" s="227"/>
      <c r="F28" s="227"/>
      <c r="G28" s="227"/>
      <c r="H28" s="228"/>
      <c r="I28" s="1">
        <v>132</v>
      </c>
      <c r="J28" s="141">
        <v>13522189</v>
      </c>
      <c r="K28" s="141">
        <v>13522189</v>
      </c>
      <c r="L28" s="141">
        <f>1083436+939728</f>
        <v>2023164</v>
      </c>
      <c r="M28" s="141">
        <f>1083436+939728</f>
        <v>2023164</v>
      </c>
    </row>
    <row r="29" spans="1:13" ht="26.25" customHeight="1">
      <c r="A29" s="226" t="s">
        <v>119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141">
        <v>2609575</v>
      </c>
      <c r="K29" s="141">
        <v>2609575</v>
      </c>
      <c r="L29" s="141">
        <f>10867691-L28-L30</f>
        <v>8844527</v>
      </c>
      <c r="M29" s="141">
        <f>10867691-M28-M30</f>
        <v>8844527</v>
      </c>
    </row>
    <row r="30" spans="1:13" ht="12.75">
      <c r="A30" s="226" t="s">
        <v>105</v>
      </c>
      <c r="B30" s="227"/>
      <c r="C30" s="227"/>
      <c r="D30" s="227"/>
      <c r="E30" s="227"/>
      <c r="F30" s="227"/>
      <c r="G30" s="227"/>
      <c r="H30" s="228"/>
      <c r="I30" s="1">
        <v>134</v>
      </c>
      <c r="J30" s="141">
        <v>15948302</v>
      </c>
      <c r="K30" s="141">
        <v>15948302</v>
      </c>
      <c r="L30" s="7"/>
      <c r="M30" s="7"/>
    </row>
    <row r="31" spans="1:13" ht="12.75">
      <c r="A31" s="226" t="s">
        <v>174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106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297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29">
        <f>SUM(J34:J37)</f>
        <v>5201270</v>
      </c>
      <c r="K33" s="129">
        <f>SUM(K34:K37)</f>
        <v>5201270</v>
      </c>
      <c r="L33" s="129">
        <f>SUM(L34:L37)</f>
        <v>8793683</v>
      </c>
      <c r="M33" s="129">
        <f>SUM(M34:M37)</f>
        <v>8793683</v>
      </c>
    </row>
    <row r="34" spans="1:13" ht="12.75">
      <c r="A34" s="226" t="s">
        <v>47</v>
      </c>
      <c r="B34" s="227"/>
      <c r="C34" s="227"/>
      <c r="D34" s="227"/>
      <c r="E34" s="227"/>
      <c r="F34" s="227"/>
      <c r="G34" s="227"/>
      <c r="H34" s="228"/>
      <c r="I34" s="1">
        <v>138</v>
      </c>
      <c r="J34" s="123">
        <v>1101213</v>
      </c>
      <c r="K34" s="123">
        <v>1101213</v>
      </c>
      <c r="L34" s="123">
        <f>2267907+162668</f>
        <v>2430575</v>
      </c>
      <c r="M34" s="123">
        <f>2267907+162668</f>
        <v>2430575</v>
      </c>
    </row>
    <row r="35" spans="1:13" ht="26.25" customHeight="1">
      <c r="A35" s="226" t="s">
        <v>46</v>
      </c>
      <c r="B35" s="227"/>
      <c r="C35" s="227"/>
      <c r="D35" s="227"/>
      <c r="E35" s="227"/>
      <c r="F35" s="227"/>
      <c r="G35" s="227"/>
      <c r="H35" s="228"/>
      <c r="I35" s="1">
        <v>139</v>
      </c>
      <c r="J35" s="123">
        <v>4100057</v>
      </c>
      <c r="K35" s="123">
        <v>4100057</v>
      </c>
      <c r="L35" s="123">
        <f>8793683-L34</f>
        <v>6363108</v>
      </c>
      <c r="M35" s="123">
        <f>8793683-M34</f>
        <v>6363108</v>
      </c>
    </row>
    <row r="36" spans="1:13" ht="12.75">
      <c r="A36" s="226" t="s">
        <v>175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48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153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154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2"/>
      <c r="K39" s="132"/>
      <c r="L39" s="132"/>
      <c r="M39" s="132"/>
    </row>
    <row r="40" spans="1:13" ht="12.75">
      <c r="A40" s="226" t="s">
        <v>176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177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298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29">
        <f>J7+J27+J38+J40</f>
        <v>184932502</v>
      </c>
      <c r="K42" s="129">
        <f>K7+K27+K38+K40</f>
        <v>184932502</v>
      </c>
      <c r="L42" s="129">
        <f>L7+L27+L38+L40</f>
        <v>161913832</v>
      </c>
      <c r="M42" s="129">
        <f>M7+M27+M38+M40</f>
        <v>161913832</v>
      </c>
    </row>
    <row r="43" spans="1:13" ht="12.75">
      <c r="A43" s="226" t="s">
        <v>299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29">
        <f>J10+J33+J39+J41</f>
        <v>143178984</v>
      </c>
      <c r="K43" s="129">
        <f>K10+K33+K39+K41</f>
        <v>143178984</v>
      </c>
      <c r="L43" s="129">
        <f>L10+L33+L39+L41</f>
        <v>149147392</v>
      </c>
      <c r="M43" s="129">
        <f>M10+M33+M39+M41</f>
        <v>149147392</v>
      </c>
    </row>
    <row r="44" spans="1:13" ht="12.75">
      <c r="A44" s="226" t="s">
        <v>300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29">
        <f>J42-J43</f>
        <v>41753518</v>
      </c>
      <c r="K44" s="129">
        <f>K42-K43</f>
        <v>41753518</v>
      </c>
      <c r="L44" s="129">
        <f>L42-L43</f>
        <v>12766440</v>
      </c>
      <c r="M44" s="129">
        <f>M42-M43</f>
        <v>12766440</v>
      </c>
    </row>
    <row r="45" spans="1:13" ht="12.75">
      <c r="A45" s="234" t="s">
        <v>169</v>
      </c>
      <c r="B45" s="235"/>
      <c r="C45" s="235"/>
      <c r="D45" s="235"/>
      <c r="E45" s="235"/>
      <c r="F45" s="235"/>
      <c r="G45" s="235"/>
      <c r="H45" s="236"/>
      <c r="I45" s="1">
        <v>149</v>
      </c>
      <c r="J45" s="49">
        <f>IF(J42&gt;J43,J42-J43,0)</f>
        <v>41753518</v>
      </c>
      <c r="K45" s="49">
        <f>IF(K42&gt;K43,K42-K43,0)</f>
        <v>41753518</v>
      </c>
      <c r="L45" s="49">
        <f>IF(L42&gt;L43,L42-L43,0)</f>
        <v>12766440</v>
      </c>
      <c r="M45" s="49">
        <f>IF(M42&gt;M43,M42-M43,0)</f>
        <v>12766440</v>
      </c>
    </row>
    <row r="46" spans="1:13" ht="12.75">
      <c r="A46" s="234" t="s">
        <v>170</v>
      </c>
      <c r="B46" s="235"/>
      <c r="C46" s="235"/>
      <c r="D46" s="235"/>
      <c r="E46" s="235"/>
      <c r="F46" s="235"/>
      <c r="G46" s="235"/>
      <c r="H46" s="236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6" t="s">
        <v>168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31">
        <v>2986012</v>
      </c>
      <c r="K47" s="131">
        <v>2986012</v>
      </c>
      <c r="L47" s="131">
        <f>1167828+1095000</f>
        <v>2262828</v>
      </c>
      <c r="M47" s="131">
        <f>1167828+1095000</f>
        <v>2262828</v>
      </c>
    </row>
    <row r="48" spans="1:13" ht="12.75">
      <c r="A48" s="226" t="s">
        <v>301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29">
        <f>J44-J47</f>
        <v>38767506</v>
      </c>
      <c r="K48" s="129">
        <f>K44-K47</f>
        <v>38767506</v>
      </c>
      <c r="L48" s="129">
        <f>L44-L47</f>
        <v>10503612</v>
      </c>
      <c r="M48" s="129">
        <f>M44-M47</f>
        <v>10503612</v>
      </c>
    </row>
    <row r="49" spans="1:13" ht="12.75">
      <c r="A49" s="234" t="s">
        <v>150</v>
      </c>
      <c r="B49" s="235"/>
      <c r="C49" s="235"/>
      <c r="D49" s="235"/>
      <c r="E49" s="235"/>
      <c r="F49" s="235"/>
      <c r="G49" s="235"/>
      <c r="H49" s="236"/>
      <c r="I49" s="1">
        <v>153</v>
      </c>
      <c r="J49" s="49">
        <f>IF(J48&gt;0,J48,0)</f>
        <v>38767506</v>
      </c>
      <c r="K49" s="49">
        <f>IF(K48&gt;0,K48,0)</f>
        <v>38767506</v>
      </c>
      <c r="L49" s="49">
        <f>IF(L48&gt;0,L48,0)</f>
        <v>10503612</v>
      </c>
      <c r="M49" s="49">
        <f>IF(M48&gt;0,M48,0)</f>
        <v>10503612</v>
      </c>
    </row>
    <row r="50" spans="1:13" ht="12.75">
      <c r="A50" s="266" t="s">
        <v>171</v>
      </c>
      <c r="B50" s="267"/>
      <c r="C50" s="267"/>
      <c r="D50" s="267"/>
      <c r="E50" s="267"/>
      <c r="F50" s="267"/>
      <c r="G50" s="267"/>
      <c r="H50" s="268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5" t="s">
        <v>254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146</v>
      </c>
      <c r="B52" s="220"/>
      <c r="C52" s="220"/>
      <c r="D52" s="220"/>
      <c r="E52" s="220"/>
      <c r="F52" s="220"/>
      <c r="G52" s="220"/>
      <c r="H52" s="220"/>
      <c r="I52" s="50"/>
      <c r="J52" s="50"/>
      <c r="K52" s="50"/>
      <c r="L52" s="50"/>
      <c r="M52" s="57"/>
    </row>
    <row r="53" spans="1:13" ht="12.75">
      <c r="A53" s="263" t="s">
        <v>185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</row>
    <row r="54" spans="1:13" ht="12.75">
      <c r="A54" s="263" t="s">
        <v>186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15" t="s">
        <v>148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159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/>
      <c r="K56" s="6"/>
      <c r="L56" s="6"/>
      <c r="M56" s="6"/>
    </row>
    <row r="57" spans="1:13" ht="12.75">
      <c r="A57" s="226" t="s">
        <v>172</v>
      </c>
      <c r="B57" s="227"/>
      <c r="C57" s="227"/>
      <c r="D57" s="227"/>
      <c r="E57" s="227"/>
      <c r="F57" s="227"/>
      <c r="G57" s="227"/>
      <c r="H57" s="228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6" t="s">
        <v>179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180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29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181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182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183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184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173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151</v>
      </c>
      <c r="B66" s="227"/>
      <c r="C66" s="227"/>
      <c r="D66" s="227"/>
      <c r="E66" s="227"/>
      <c r="F66" s="227"/>
      <c r="G66" s="227"/>
      <c r="H66" s="228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6" t="s">
        <v>152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59" t="s">
        <v>255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147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185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</row>
    <row r="71" spans="1:13" ht="12.75">
      <c r="A71" s="256" t="s">
        <v>186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40">
      <selection activeCell="J35" sqref="J35:K52"/>
    </sheetView>
  </sheetViews>
  <sheetFormatPr defaultColWidth="9.140625" defaultRowHeight="12.75"/>
  <cols>
    <col min="1" max="9" width="9.140625" style="48" customWidth="1"/>
    <col min="10" max="11" width="12.7109375" style="48" customWidth="1"/>
    <col min="12" max="13" width="9.140625" style="48" customWidth="1"/>
    <col min="14" max="14" width="10.8515625" style="48" bestFit="1" customWidth="1"/>
    <col min="15" max="16384" width="9.140625" style="48" customWidth="1"/>
  </cols>
  <sheetData>
    <row r="1" spans="1:11" ht="12.75" customHeight="1">
      <c r="A1" s="275" t="s">
        <v>126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290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 customHeight="1">
      <c r="A3" s="249" t="s">
        <v>281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77" t="s">
        <v>40</v>
      </c>
      <c r="B4" s="277"/>
      <c r="C4" s="277"/>
      <c r="D4" s="277"/>
      <c r="E4" s="277"/>
      <c r="F4" s="277"/>
      <c r="G4" s="277"/>
      <c r="H4" s="277"/>
      <c r="I4" s="61" t="s">
        <v>226</v>
      </c>
      <c r="J4" s="62" t="s">
        <v>260</v>
      </c>
      <c r="K4" s="62" t="s">
        <v>261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3">
        <v>2</v>
      </c>
      <c r="J5" s="64" t="s">
        <v>229</v>
      </c>
      <c r="K5" s="64" t="s">
        <v>230</v>
      </c>
    </row>
    <row r="6" spans="1:11" ht="12.75">
      <c r="A6" s="215" t="s">
        <v>120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24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15619863</v>
      </c>
      <c r="K7" s="7">
        <f>+RDG!L44</f>
        <v>12766440</v>
      </c>
    </row>
    <row r="8" spans="1:11" ht="12.75">
      <c r="A8" s="223" t="s">
        <v>25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9853380</v>
      </c>
      <c r="K8" s="7">
        <f>+RDG!L20</f>
        <v>9874442</v>
      </c>
    </row>
    <row r="9" spans="1:11" ht="12.75">
      <c r="A9" s="223" t="s">
        <v>26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14375087</v>
      </c>
      <c r="K9" s="7">
        <f>-1050000+1981298+4877168-400000</f>
        <v>5408466</v>
      </c>
    </row>
    <row r="10" spans="1:11" ht="12.75">
      <c r="A10" s="223" t="s">
        <v>27</v>
      </c>
      <c r="B10" s="224"/>
      <c r="C10" s="224"/>
      <c r="D10" s="224"/>
      <c r="E10" s="224"/>
      <c r="F10" s="224"/>
      <c r="G10" s="224"/>
      <c r="H10" s="224"/>
      <c r="I10" s="1">
        <v>4</v>
      </c>
      <c r="J10" s="7"/>
      <c r="K10" s="7"/>
    </row>
    <row r="11" spans="1:11" ht="12.75">
      <c r="A11" s="223" t="s">
        <v>28</v>
      </c>
      <c r="B11" s="224"/>
      <c r="C11" s="224"/>
      <c r="D11" s="224"/>
      <c r="E11" s="224"/>
      <c r="F11" s="224"/>
      <c r="G11" s="224"/>
      <c r="H11" s="224"/>
      <c r="I11" s="1">
        <v>5</v>
      </c>
      <c r="J11" s="7">
        <v>6463404</v>
      </c>
      <c r="K11" s="7">
        <v>9547144</v>
      </c>
    </row>
    <row r="12" spans="1:11" ht="12.75">
      <c r="A12" s="223" t="s">
        <v>32</v>
      </c>
      <c r="B12" s="224"/>
      <c r="C12" s="224"/>
      <c r="D12" s="224"/>
      <c r="E12" s="224"/>
      <c r="F12" s="224"/>
      <c r="G12" s="224"/>
      <c r="H12" s="224"/>
      <c r="I12" s="1">
        <v>6</v>
      </c>
      <c r="J12" s="7"/>
      <c r="K12" s="7"/>
    </row>
    <row r="13" spans="1:11" ht="12.75">
      <c r="A13" s="226" t="s">
        <v>121</v>
      </c>
      <c r="B13" s="227"/>
      <c r="C13" s="227"/>
      <c r="D13" s="227"/>
      <c r="E13" s="227"/>
      <c r="F13" s="227"/>
      <c r="G13" s="227"/>
      <c r="H13" s="227"/>
      <c r="I13" s="1">
        <v>7</v>
      </c>
      <c r="J13" s="137">
        <f>SUM(J7:J12)</f>
        <v>46311734</v>
      </c>
      <c r="K13" s="129">
        <f>SUM(K7:K12)</f>
        <v>37596492</v>
      </c>
    </row>
    <row r="14" spans="1:11" ht="12.75">
      <c r="A14" s="223" t="s">
        <v>33</v>
      </c>
      <c r="B14" s="224"/>
      <c r="C14" s="224"/>
      <c r="D14" s="224"/>
      <c r="E14" s="224"/>
      <c r="F14" s="224"/>
      <c r="G14" s="224"/>
      <c r="H14" s="224"/>
      <c r="I14" s="1">
        <v>8</v>
      </c>
      <c r="J14" s="7"/>
      <c r="K14" s="7"/>
    </row>
    <row r="15" spans="1:11" ht="12.75">
      <c r="A15" s="223" t="s">
        <v>34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3226045</v>
      </c>
      <c r="K15" s="7">
        <f>26147130-1172943</f>
        <v>24974187</v>
      </c>
    </row>
    <row r="16" spans="1:11" ht="12.75">
      <c r="A16" s="223" t="s">
        <v>35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/>
      <c r="K16" s="7"/>
    </row>
    <row r="17" spans="1:11" ht="12.75">
      <c r="A17" s="223" t="s">
        <v>36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2986012</v>
      </c>
      <c r="K17" s="7"/>
    </row>
    <row r="18" spans="1:11" ht="12.75">
      <c r="A18" s="226" t="s">
        <v>122</v>
      </c>
      <c r="B18" s="227"/>
      <c r="C18" s="227"/>
      <c r="D18" s="227"/>
      <c r="E18" s="227"/>
      <c r="F18" s="227"/>
      <c r="G18" s="227"/>
      <c r="H18" s="227"/>
      <c r="I18" s="1">
        <v>12</v>
      </c>
      <c r="J18" s="137">
        <f>SUM(J14:J17)</f>
        <v>6212057</v>
      </c>
      <c r="K18" s="129">
        <f>SUM(K14:K17)</f>
        <v>24974187</v>
      </c>
    </row>
    <row r="19" spans="1:11" ht="12.75">
      <c r="A19" s="226" t="s">
        <v>20</v>
      </c>
      <c r="B19" s="227"/>
      <c r="C19" s="227"/>
      <c r="D19" s="227"/>
      <c r="E19" s="227"/>
      <c r="F19" s="227"/>
      <c r="G19" s="227"/>
      <c r="H19" s="227"/>
      <c r="I19" s="1">
        <v>13</v>
      </c>
      <c r="J19" s="137">
        <f>IF(J13&gt;J18,J13-J18,0)</f>
        <v>40099677</v>
      </c>
      <c r="K19" s="129">
        <f>IF(K13&gt;K18,K13-K18,0)</f>
        <v>12622305</v>
      </c>
    </row>
    <row r="20" spans="1:11" ht="12.75">
      <c r="A20" s="226" t="s">
        <v>21</v>
      </c>
      <c r="B20" s="227"/>
      <c r="C20" s="227"/>
      <c r="D20" s="227"/>
      <c r="E20" s="227"/>
      <c r="F20" s="227"/>
      <c r="G20" s="227"/>
      <c r="H20" s="227"/>
      <c r="I20" s="1">
        <v>14</v>
      </c>
      <c r="J20" s="137">
        <f>IF(J18&gt;J13,J18-J13,0)</f>
        <v>0</v>
      </c>
      <c r="K20" s="129">
        <f>IF(K18&gt;K13,K18-K13,0)</f>
        <v>0</v>
      </c>
    </row>
    <row r="21" spans="1:11" ht="12.75">
      <c r="A21" s="215" t="s">
        <v>123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.75">
      <c r="A22" s="223" t="s">
        <v>137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779118</v>
      </c>
      <c r="K22" s="7"/>
    </row>
    <row r="23" spans="1:11" ht="12.75">
      <c r="A23" s="223" t="s">
        <v>138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/>
      <c r="K23" s="7"/>
    </row>
    <row r="24" spans="1:11" ht="12.75">
      <c r="A24" s="223" t="s">
        <v>139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/>
      <c r="K24" s="7"/>
    </row>
    <row r="25" spans="1:11" ht="12.75">
      <c r="A25" s="223" t="s">
        <v>140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/>
      <c r="K25" s="7"/>
    </row>
    <row r="26" spans="1:11" ht="12.75">
      <c r="A26" s="223" t="s">
        <v>141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26133655</v>
      </c>
      <c r="K26" s="7"/>
    </row>
    <row r="27" spans="1:11" ht="12.75">
      <c r="A27" s="226" t="s">
        <v>127</v>
      </c>
      <c r="B27" s="227"/>
      <c r="C27" s="227"/>
      <c r="D27" s="227"/>
      <c r="E27" s="227"/>
      <c r="F27" s="227"/>
      <c r="G27" s="227"/>
      <c r="H27" s="227"/>
      <c r="I27" s="1">
        <v>20</v>
      </c>
      <c r="J27" s="137">
        <f>SUM(J22:J26)</f>
        <v>26912773</v>
      </c>
      <c r="K27" s="129">
        <f>SUM(K22:K26)</f>
        <v>0</v>
      </c>
    </row>
    <row r="28" spans="1:11" ht="12.75">
      <c r="A28" s="223" t="s">
        <v>91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3025881</v>
      </c>
      <c r="K28" s="7"/>
    </row>
    <row r="29" spans="1:11" ht="12.75">
      <c r="A29" s="223" t="s">
        <v>92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>
        <v>9172086</v>
      </c>
    </row>
    <row r="30" spans="1:11" ht="12.75">
      <c r="A30" s="223" t="s">
        <v>8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137">
        <f>SUM(J28:J30)</f>
        <v>3025881</v>
      </c>
      <c r="K31" s="129">
        <f>SUM(K28:K30)</f>
        <v>9172086</v>
      </c>
    </row>
    <row r="32" spans="1:11" ht="12.75">
      <c r="A32" s="226" t="s">
        <v>22</v>
      </c>
      <c r="B32" s="227"/>
      <c r="C32" s="227"/>
      <c r="D32" s="227"/>
      <c r="E32" s="227"/>
      <c r="F32" s="227"/>
      <c r="G32" s="227"/>
      <c r="H32" s="227"/>
      <c r="I32" s="1">
        <v>25</v>
      </c>
      <c r="J32" s="137">
        <f>IF(J27&gt;J31,J27-J31,0)</f>
        <v>23886892</v>
      </c>
      <c r="K32" s="129">
        <f>IF(K27&gt;K31,K27-K31,0)</f>
        <v>0</v>
      </c>
    </row>
    <row r="33" spans="1:11" ht="12.75">
      <c r="A33" s="226" t="s">
        <v>23</v>
      </c>
      <c r="B33" s="227"/>
      <c r="C33" s="227"/>
      <c r="D33" s="227"/>
      <c r="E33" s="227"/>
      <c r="F33" s="227"/>
      <c r="G33" s="227"/>
      <c r="H33" s="227"/>
      <c r="I33" s="1">
        <v>26</v>
      </c>
      <c r="J33" s="137">
        <f>IF(J31&gt;J27,J31-J27,0)</f>
        <v>0</v>
      </c>
      <c r="K33" s="129">
        <f>IF(K31&gt;K27,K31-K27,0)</f>
        <v>9172086</v>
      </c>
    </row>
    <row r="34" spans="1:11" ht="12.75">
      <c r="A34" s="215" t="s">
        <v>124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.75">
      <c r="A35" s="223" t="s">
        <v>133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13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14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7233131</v>
      </c>
      <c r="K37" s="7">
        <f>-191746-11740184+5881445+9172086+3226415</f>
        <v>6348016</v>
      </c>
    </row>
    <row r="38" spans="1:11" ht="12.75">
      <c r="A38" s="226" t="s">
        <v>49</v>
      </c>
      <c r="B38" s="227"/>
      <c r="C38" s="227"/>
      <c r="D38" s="227"/>
      <c r="E38" s="227"/>
      <c r="F38" s="227"/>
      <c r="G38" s="227"/>
      <c r="H38" s="227"/>
      <c r="I38" s="1">
        <v>30</v>
      </c>
      <c r="J38" s="137">
        <f>SUM(J35:J37)</f>
        <v>7233131</v>
      </c>
      <c r="K38" s="129">
        <f>SUM(K35:K37)</f>
        <v>6348016</v>
      </c>
    </row>
    <row r="39" spans="1:11" ht="12.75">
      <c r="A39" s="223" t="s">
        <v>15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6802837</v>
      </c>
      <c r="K39" s="7">
        <v>3305785</v>
      </c>
    </row>
    <row r="40" spans="1:11" ht="12.75">
      <c r="A40" s="223" t="s">
        <v>16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/>
      <c r="K40" s="7"/>
    </row>
    <row r="41" spans="1:11" ht="12.75">
      <c r="A41" s="223" t="s">
        <v>17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>
        <v>22793721</v>
      </c>
      <c r="K41" s="7">
        <v>3226415</v>
      </c>
    </row>
    <row r="42" spans="1:11" ht="12.75">
      <c r="A42" s="223" t="s">
        <v>18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/>
      <c r="K42" s="7"/>
    </row>
    <row r="43" spans="1:15" ht="12.75">
      <c r="A43" s="223" t="s">
        <v>19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36810253</v>
      </c>
      <c r="K43" s="7">
        <v>2262829</v>
      </c>
      <c r="N43" s="138"/>
      <c r="O43" s="140"/>
    </row>
    <row r="44" spans="1:14" ht="12.75">
      <c r="A44" s="226" t="s">
        <v>50</v>
      </c>
      <c r="B44" s="227"/>
      <c r="C44" s="227"/>
      <c r="D44" s="227"/>
      <c r="E44" s="227"/>
      <c r="F44" s="227"/>
      <c r="G44" s="227"/>
      <c r="H44" s="227"/>
      <c r="I44" s="1">
        <v>36</v>
      </c>
      <c r="J44" s="137">
        <f>SUM(J39:J43)</f>
        <v>66406811</v>
      </c>
      <c r="K44" s="129">
        <f>SUM(K39:K43)</f>
        <v>8795029</v>
      </c>
      <c r="N44" s="138"/>
    </row>
    <row r="45" spans="1:14" ht="12.75">
      <c r="A45" s="226" t="s">
        <v>9</v>
      </c>
      <c r="B45" s="227"/>
      <c r="C45" s="227"/>
      <c r="D45" s="227"/>
      <c r="E45" s="227"/>
      <c r="F45" s="227"/>
      <c r="G45" s="227"/>
      <c r="H45" s="227"/>
      <c r="I45" s="1">
        <v>37</v>
      </c>
      <c r="J45" s="137">
        <f>IF(J38&gt;J44,J38-J44,0)</f>
        <v>0</v>
      </c>
      <c r="K45" s="129">
        <f>IF(K38&gt;K44,K38-K44,0)</f>
        <v>0</v>
      </c>
      <c r="N45" s="138"/>
    </row>
    <row r="46" spans="1:11" ht="12.75">
      <c r="A46" s="226" t="s">
        <v>10</v>
      </c>
      <c r="B46" s="227"/>
      <c r="C46" s="227"/>
      <c r="D46" s="227"/>
      <c r="E46" s="227"/>
      <c r="F46" s="227"/>
      <c r="G46" s="227"/>
      <c r="H46" s="227"/>
      <c r="I46" s="1">
        <v>38</v>
      </c>
      <c r="J46" s="137">
        <f>IF(J44&gt;J38,J44-J38,0)</f>
        <v>59173680</v>
      </c>
      <c r="K46" s="129">
        <f>IF(K44&gt;K38,K44-K38,0)</f>
        <v>2447013</v>
      </c>
    </row>
    <row r="47" spans="1:11" ht="12.75">
      <c r="A47" s="223" t="s">
        <v>51</v>
      </c>
      <c r="B47" s="224"/>
      <c r="C47" s="224"/>
      <c r="D47" s="224"/>
      <c r="E47" s="224"/>
      <c r="F47" s="224"/>
      <c r="G47" s="224"/>
      <c r="H47" s="224"/>
      <c r="I47" s="1">
        <v>39</v>
      </c>
      <c r="J47" s="59">
        <f>IF(J19-J20+J32-J33+J45-J46&gt;0,J19-J20+J32-J33+J45-J46,0)</f>
        <v>4812889</v>
      </c>
      <c r="K47" s="49">
        <f>IF(K19-K20+K32-K33+K45-K46&gt;0,K19-K20+K32-K33+K45-K46,0)</f>
        <v>1003206</v>
      </c>
    </row>
    <row r="48" spans="1:14" ht="12.75">
      <c r="A48" s="223" t="s">
        <v>52</v>
      </c>
      <c r="B48" s="224"/>
      <c r="C48" s="224"/>
      <c r="D48" s="224"/>
      <c r="E48" s="224"/>
      <c r="F48" s="224"/>
      <c r="G48" s="224"/>
      <c r="H48" s="224"/>
      <c r="I48" s="1">
        <v>40</v>
      </c>
      <c r="J48" s="59">
        <f>IF(J20-J19+J33-J32+J46-J45&gt;0,J20-J19+J33-J32+J46-J45,0)</f>
        <v>0</v>
      </c>
      <c r="K48" s="49">
        <f>IF(K20-K19+K33-K32+K46-K45&gt;0,K20-K19+K33-K32+K46-K45,0)</f>
        <v>0</v>
      </c>
      <c r="N48" s="138"/>
    </row>
    <row r="49" spans="1:14" ht="12.75">
      <c r="A49" s="223" t="s">
        <v>125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3228873</v>
      </c>
      <c r="K49" s="7">
        <v>1187681</v>
      </c>
      <c r="N49" s="138"/>
    </row>
    <row r="50" spans="1:11" ht="12.75">
      <c r="A50" s="223" t="s">
        <v>134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>
        <v>4812889</v>
      </c>
      <c r="K50" s="7">
        <v>1003206</v>
      </c>
    </row>
    <row r="51" spans="1:11" ht="12.75">
      <c r="A51" s="223" t="s">
        <v>135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9" t="s">
        <v>136</v>
      </c>
      <c r="B52" s="230"/>
      <c r="C52" s="230"/>
      <c r="D52" s="230"/>
      <c r="E52" s="230"/>
      <c r="F52" s="230"/>
      <c r="G52" s="230"/>
      <c r="H52" s="230"/>
      <c r="I52" s="4">
        <v>44</v>
      </c>
      <c r="J52" s="60">
        <f>J49+J50-J51</f>
        <v>8041762</v>
      </c>
      <c r="K52" s="56">
        <f>K49+K50-K51</f>
        <v>2190887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29:J36 J1:J6 J13 J18:J21 J27 K1:IV65536 J51:J65536 J38 J44:J48"/>
    <dataValidation type="whole" operator="notEqual" allowBlank="1" showInputMessage="1" showErrorMessage="1" errorTitle="Pogrešan unos" error="Mogu se unijeti samo cjelobrojne vrijednosti." sqref="J7:J12 J14:J17 J22:J26 J28 J37 J39:J43 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J6" sqref="J6:K22"/>
    </sheetView>
  </sheetViews>
  <sheetFormatPr defaultColWidth="9.140625" defaultRowHeight="12.75"/>
  <cols>
    <col min="1" max="4" width="9.140625" style="67" customWidth="1"/>
    <col min="5" max="5" width="11.00390625" style="67" customWidth="1"/>
    <col min="6" max="9" width="9.140625" style="67" customWidth="1"/>
    <col min="10" max="11" width="12.7109375" style="67" customWidth="1"/>
    <col min="12" max="16384" width="9.140625" style="67" customWidth="1"/>
  </cols>
  <sheetData>
    <row r="1" spans="1:12" ht="12.75">
      <c r="A1" s="293" t="s">
        <v>227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66"/>
    </row>
    <row r="2" spans="1:12" ht="15.75">
      <c r="A2" s="39"/>
      <c r="B2" s="65"/>
      <c r="C2" s="278" t="s">
        <v>228</v>
      </c>
      <c r="D2" s="278"/>
      <c r="E2" s="133" t="s">
        <v>277</v>
      </c>
      <c r="F2" s="40" t="s">
        <v>197</v>
      </c>
      <c r="G2" s="279" t="s">
        <v>278</v>
      </c>
      <c r="H2" s="280"/>
      <c r="I2" s="65"/>
      <c r="J2" s="65"/>
      <c r="K2" s="65"/>
      <c r="L2" s="68"/>
    </row>
    <row r="3" spans="1:13" ht="12.75" customHeight="1">
      <c r="A3" s="269" t="s">
        <v>281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36"/>
      <c r="M3" s="136"/>
    </row>
    <row r="4" spans="1:11" ht="23.25">
      <c r="A4" s="281" t="s">
        <v>40</v>
      </c>
      <c r="B4" s="281"/>
      <c r="C4" s="281"/>
      <c r="D4" s="281"/>
      <c r="E4" s="281"/>
      <c r="F4" s="281"/>
      <c r="G4" s="281"/>
      <c r="H4" s="281"/>
      <c r="I4" s="134" t="s">
        <v>251</v>
      </c>
      <c r="J4" s="135" t="s">
        <v>114</v>
      </c>
      <c r="K4" s="135" t="s">
        <v>115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0" t="s">
        <v>229</v>
      </c>
      <c r="K5" s="70" t="s">
        <v>230</v>
      </c>
    </row>
    <row r="6" spans="1:11" ht="12.75">
      <c r="A6" s="283" t="s">
        <v>231</v>
      </c>
      <c r="B6" s="284"/>
      <c r="C6" s="284"/>
      <c r="D6" s="284"/>
      <c r="E6" s="284"/>
      <c r="F6" s="284"/>
      <c r="G6" s="284"/>
      <c r="H6" s="284"/>
      <c r="I6" s="41">
        <v>1</v>
      </c>
      <c r="J6" s="42">
        <f>+Bilanca!J70</f>
        <v>419958400</v>
      </c>
      <c r="K6" s="42">
        <f>+Bilanca!K70</f>
        <v>419958400</v>
      </c>
    </row>
    <row r="7" spans="1:11" ht="12.75">
      <c r="A7" s="283" t="s">
        <v>232</v>
      </c>
      <c r="B7" s="284"/>
      <c r="C7" s="284"/>
      <c r="D7" s="284"/>
      <c r="E7" s="284"/>
      <c r="F7" s="284"/>
      <c r="G7" s="284"/>
      <c r="H7" s="284"/>
      <c r="I7" s="41">
        <v>2</v>
      </c>
      <c r="J7" s="43">
        <f>+Bilanca!J71</f>
        <v>183075797</v>
      </c>
      <c r="K7" s="43">
        <f>+Bilanca!K71</f>
        <v>183075797</v>
      </c>
    </row>
    <row r="8" spans="1:11" ht="12.75">
      <c r="A8" s="283" t="s">
        <v>233</v>
      </c>
      <c r="B8" s="284"/>
      <c r="C8" s="284"/>
      <c r="D8" s="284"/>
      <c r="E8" s="284"/>
      <c r="F8" s="284"/>
      <c r="G8" s="284"/>
      <c r="H8" s="284"/>
      <c r="I8" s="41">
        <v>3</v>
      </c>
      <c r="J8" s="43">
        <f>+Bilanca!J72</f>
        <v>6801736</v>
      </c>
      <c r="K8" s="43">
        <f>+Bilanca!K72</f>
        <v>6801736</v>
      </c>
    </row>
    <row r="9" spans="1:11" ht="12.75">
      <c r="A9" s="283" t="s">
        <v>234</v>
      </c>
      <c r="B9" s="284"/>
      <c r="C9" s="284"/>
      <c r="D9" s="284"/>
      <c r="E9" s="284"/>
      <c r="F9" s="284"/>
      <c r="G9" s="284"/>
      <c r="H9" s="284"/>
      <c r="I9" s="41">
        <v>4</v>
      </c>
      <c r="J9" s="43">
        <f>+Bilanca!J80</f>
        <v>0</v>
      </c>
      <c r="K9" s="43">
        <f>+Bilanca!K80</f>
        <v>51835701</v>
      </c>
    </row>
    <row r="10" spans="1:11" ht="12.75">
      <c r="A10" s="283" t="s">
        <v>235</v>
      </c>
      <c r="B10" s="284"/>
      <c r="C10" s="284"/>
      <c r="D10" s="284"/>
      <c r="E10" s="284"/>
      <c r="F10" s="284"/>
      <c r="G10" s="284"/>
      <c r="H10" s="284"/>
      <c r="I10" s="41">
        <v>5</v>
      </c>
      <c r="J10" s="43">
        <f>+Bilanca!J83</f>
        <v>51835702</v>
      </c>
      <c r="K10" s="43">
        <f>+Bilanca!K83</f>
        <v>10503612</v>
      </c>
    </row>
    <row r="11" spans="1:11" ht="12.75">
      <c r="A11" s="283" t="s">
        <v>236</v>
      </c>
      <c r="B11" s="284"/>
      <c r="C11" s="284"/>
      <c r="D11" s="284"/>
      <c r="E11" s="284"/>
      <c r="F11" s="284"/>
      <c r="G11" s="284"/>
      <c r="H11" s="284"/>
      <c r="I11" s="41">
        <v>6</v>
      </c>
      <c r="J11" s="43"/>
      <c r="K11" s="43"/>
    </row>
    <row r="12" spans="1:11" ht="12.75">
      <c r="A12" s="283" t="s">
        <v>237</v>
      </c>
      <c r="B12" s="284"/>
      <c r="C12" s="284"/>
      <c r="D12" s="284"/>
      <c r="E12" s="284"/>
      <c r="F12" s="284"/>
      <c r="G12" s="284"/>
      <c r="H12" s="284"/>
      <c r="I12" s="41">
        <v>7</v>
      </c>
      <c r="J12" s="43"/>
      <c r="K12" s="43"/>
    </row>
    <row r="13" spans="1:11" ht="12.75">
      <c r="A13" s="283" t="s">
        <v>238</v>
      </c>
      <c r="B13" s="284"/>
      <c r="C13" s="284"/>
      <c r="D13" s="284"/>
      <c r="E13" s="284"/>
      <c r="F13" s="284"/>
      <c r="G13" s="284"/>
      <c r="H13" s="284"/>
      <c r="I13" s="41">
        <v>8</v>
      </c>
      <c r="J13" s="43"/>
      <c r="K13" s="43"/>
    </row>
    <row r="14" spans="1:11" ht="12.75">
      <c r="A14" s="283" t="s">
        <v>239</v>
      </c>
      <c r="B14" s="284"/>
      <c r="C14" s="284"/>
      <c r="D14" s="284"/>
      <c r="E14" s="284"/>
      <c r="F14" s="284"/>
      <c r="G14" s="284"/>
      <c r="H14" s="284"/>
      <c r="I14" s="41">
        <v>9</v>
      </c>
      <c r="J14" s="43">
        <f>+Bilanca!J78</f>
        <v>10185353</v>
      </c>
      <c r="K14" s="43">
        <f>+Bilanca!K78</f>
        <v>10185353</v>
      </c>
    </row>
    <row r="15" spans="1:11" ht="12.75">
      <c r="A15" s="285" t="s">
        <v>240</v>
      </c>
      <c r="B15" s="286"/>
      <c r="C15" s="286"/>
      <c r="D15" s="286"/>
      <c r="E15" s="286"/>
      <c r="F15" s="286"/>
      <c r="G15" s="286"/>
      <c r="H15" s="286"/>
      <c r="I15" s="41">
        <v>10</v>
      </c>
      <c r="J15" s="129">
        <f>SUM(J6:J14)</f>
        <v>671856988</v>
      </c>
      <c r="K15" s="129">
        <f>SUM(K6:K14)</f>
        <v>682360599</v>
      </c>
    </row>
    <row r="16" spans="1:11" ht="12.75">
      <c r="A16" s="283" t="s">
        <v>241</v>
      </c>
      <c r="B16" s="284"/>
      <c r="C16" s="284"/>
      <c r="D16" s="284"/>
      <c r="E16" s="284"/>
      <c r="F16" s="284"/>
      <c r="G16" s="284"/>
      <c r="H16" s="284"/>
      <c r="I16" s="41">
        <v>11</v>
      </c>
      <c r="J16" s="43"/>
      <c r="K16" s="43"/>
    </row>
    <row r="17" spans="1:11" ht="12.75">
      <c r="A17" s="283" t="s">
        <v>242</v>
      </c>
      <c r="B17" s="284"/>
      <c r="C17" s="284"/>
      <c r="D17" s="284"/>
      <c r="E17" s="284"/>
      <c r="F17" s="284"/>
      <c r="G17" s="284"/>
      <c r="H17" s="284"/>
      <c r="I17" s="41">
        <v>12</v>
      </c>
      <c r="J17" s="43"/>
      <c r="K17" s="43"/>
    </row>
    <row r="18" spans="1:11" ht="12.75">
      <c r="A18" s="283" t="s">
        <v>243</v>
      </c>
      <c r="B18" s="284"/>
      <c r="C18" s="284"/>
      <c r="D18" s="284"/>
      <c r="E18" s="284"/>
      <c r="F18" s="284"/>
      <c r="G18" s="284"/>
      <c r="H18" s="284"/>
      <c r="I18" s="41">
        <v>13</v>
      </c>
      <c r="J18" s="43"/>
      <c r="K18" s="43"/>
    </row>
    <row r="19" spans="1:11" ht="12.75">
      <c r="A19" s="283" t="s">
        <v>244</v>
      </c>
      <c r="B19" s="284"/>
      <c r="C19" s="284"/>
      <c r="D19" s="284"/>
      <c r="E19" s="284"/>
      <c r="F19" s="284"/>
      <c r="G19" s="284"/>
      <c r="H19" s="284"/>
      <c r="I19" s="41">
        <v>14</v>
      </c>
      <c r="J19" s="43"/>
      <c r="K19" s="43"/>
    </row>
    <row r="20" spans="1:11" ht="12.75">
      <c r="A20" s="283" t="s">
        <v>245</v>
      </c>
      <c r="B20" s="284"/>
      <c r="C20" s="284"/>
      <c r="D20" s="284"/>
      <c r="E20" s="284"/>
      <c r="F20" s="284"/>
      <c r="G20" s="284"/>
      <c r="H20" s="284"/>
      <c r="I20" s="41">
        <v>15</v>
      </c>
      <c r="J20" s="43"/>
      <c r="K20" s="43"/>
    </row>
    <row r="21" spans="1:11" ht="12.75">
      <c r="A21" s="283" t="s">
        <v>246</v>
      </c>
      <c r="B21" s="284"/>
      <c r="C21" s="284"/>
      <c r="D21" s="284"/>
      <c r="E21" s="284"/>
      <c r="F21" s="284"/>
      <c r="G21" s="284"/>
      <c r="H21" s="284"/>
      <c r="I21" s="41">
        <v>16</v>
      </c>
      <c r="J21" s="43"/>
      <c r="K21" s="43"/>
    </row>
    <row r="22" spans="1:11" ht="12.75">
      <c r="A22" s="285" t="s">
        <v>247</v>
      </c>
      <c r="B22" s="286"/>
      <c r="C22" s="286"/>
      <c r="D22" s="286"/>
      <c r="E22" s="286"/>
      <c r="F22" s="286"/>
      <c r="G22" s="286"/>
      <c r="H22" s="286"/>
      <c r="I22" s="41">
        <v>17</v>
      </c>
      <c r="J22" s="69">
        <f>SUM(J16:J21)</f>
        <v>0</v>
      </c>
      <c r="K22" s="69">
        <f>SUM(K16:K21)</f>
        <v>0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7" t="s">
        <v>248</v>
      </c>
      <c r="B24" s="288"/>
      <c r="C24" s="288"/>
      <c r="D24" s="288"/>
      <c r="E24" s="288"/>
      <c r="F24" s="288"/>
      <c r="G24" s="288"/>
      <c r="H24" s="288"/>
      <c r="I24" s="44">
        <v>18</v>
      </c>
      <c r="J24" s="42"/>
      <c r="K24" s="42"/>
    </row>
    <row r="25" spans="1:11" ht="17.25" customHeight="1">
      <c r="A25" s="289" t="s">
        <v>249</v>
      </c>
      <c r="B25" s="290"/>
      <c r="C25" s="290"/>
      <c r="D25" s="290"/>
      <c r="E25" s="290"/>
      <c r="F25" s="290"/>
      <c r="G25" s="290"/>
      <c r="H25" s="290"/>
      <c r="I25" s="45">
        <v>19</v>
      </c>
      <c r="J25" s="69"/>
      <c r="K25" s="69"/>
    </row>
    <row r="26" spans="1:11" ht="30" customHeight="1">
      <c r="A26" s="291" t="s">
        <v>250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Kulic</cp:lastModifiedBy>
  <cp:lastPrinted>2012-04-26T13:39:17Z</cp:lastPrinted>
  <dcterms:created xsi:type="dcterms:W3CDTF">2008-10-17T11:51:54Z</dcterms:created>
  <dcterms:modified xsi:type="dcterms:W3CDTF">2012-04-26T16:56:03Z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