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15" windowWidth="12165" windowHeight="8175"/>
  </bookViews>
  <sheets>
    <sheet name="GENERAL DATA" sheetId="15" r:id="rId1"/>
    <sheet name="BALANCE SHEET" sheetId="19" r:id="rId2"/>
    <sheet name="P&amp;L" sheetId="18" r:id="rId3"/>
    <sheet name="CASH FLOW" sheetId="20" r:id="rId4"/>
    <sheet name="CHANGES TO CAPITAL" sheetId="17" r:id="rId5"/>
  </sheets>
  <externalReferences>
    <externalReference r:id="rId6"/>
  </externalReferences>
  <definedNames>
    <definedName name="_xlnm.Print_Area" localSheetId="3">'CASH FLOW'!$A$1:$K$52</definedName>
    <definedName name="_xlnm.Print_Area" localSheetId="4">'CHANGES TO CAPITAL'!$A$1:$K$25</definedName>
    <definedName name="_xlnm.Print_Area" localSheetId="0">'GENERAL DATA'!$A$1:$I$62</definedName>
  </definedNames>
  <calcPr calcId="125725"/>
</workbook>
</file>

<file path=xl/calcChain.xml><?xml version="1.0" encoding="utf-8"?>
<calcChain xmlns="http://schemas.openxmlformats.org/spreadsheetml/2006/main">
  <c r="K78" i="19"/>
  <c r="K13" i="17"/>
  <c r="J13"/>
  <c r="K9"/>
  <c r="J9"/>
  <c r="K7"/>
  <c r="J7"/>
  <c r="K6"/>
  <c r="J6"/>
  <c r="K5"/>
  <c r="J5"/>
  <c r="K44" i="20"/>
  <c r="K46" s="1"/>
  <c r="J44"/>
  <c r="J46" s="1"/>
  <c r="K38"/>
  <c r="K45" s="1"/>
  <c r="K47" s="1"/>
  <c r="J38"/>
  <c r="J45" s="1"/>
  <c r="J47" s="1"/>
  <c r="K31"/>
  <c r="K33" s="1"/>
  <c r="J31"/>
  <c r="J33" s="1"/>
  <c r="K27"/>
  <c r="K32" s="1"/>
  <c r="J27"/>
  <c r="J32" s="1"/>
  <c r="K18"/>
  <c r="K20" s="1"/>
  <c r="J18"/>
  <c r="J20" s="1"/>
  <c r="K13"/>
  <c r="K19" s="1"/>
  <c r="J13"/>
  <c r="J19" s="1"/>
  <c r="J35" i="18"/>
  <c r="L34"/>
  <c r="L35" s="1"/>
  <c r="K34"/>
  <c r="K35" s="1"/>
  <c r="L28"/>
  <c r="L29" s="1"/>
  <c r="K28"/>
  <c r="K29" s="1"/>
  <c r="J28"/>
  <c r="J29" s="1"/>
  <c r="L26"/>
  <c r="L21"/>
  <c r="L15"/>
  <c r="L11"/>
  <c r="L9"/>
  <c r="L8" s="1"/>
  <c r="K113" i="19"/>
  <c r="K108"/>
  <c r="K109" s="1"/>
  <c r="K105"/>
  <c r="K104"/>
  <c r="K101"/>
  <c r="K89"/>
  <c r="K83"/>
  <c r="K67"/>
  <c r="K55"/>
  <c r="K53"/>
  <c r="K54" s="1"/>
  <c r="K52"/>
  <c r="K51"/>
  <c r="K50"/>
  <c r="K42"/>
  <c r="K32"/>
  <c r="K31"/>
  <c r="K29"/>
  <c r="K28"/>
  <c r="K27"/>
  <c r="K20"/>
  <c r="K19"/>
  <c r="K18"/>
  <c r="K14" i="17"/>
  <c r="J14"/>
  <c r="K115" i="19"/>
  <c r="J115"/>
  <c r="K48" i="20" l="1"/>
  <c r="J48"/>
  <c r="K4"/>
  <c r="J4"/>
  <c r="I4"/>
  <c r="A4"/>
  <c r="K57" i="18"/>
  <c r="K66"/>
  <c r="K67"/>
  <c r="L57"/>
  <c r="L66"/>
  <c r="M57"/>
  <c r="M66"/>
  <c r="M67"/>
  <c r="L67"/>
  <c r="K7"/>
  <c r="K27"/>
  <c r="K42" s="1"/>
  <c r="K12"/>
  <c r="K16"/>
  <c r="K22"/>
  <c r="K33"/>
  <c r="L7"/>
  <c r="L27"/>
  <c r="L42" s="1"/>
  <c r="L12"/>
  <c r="L16"/>
  <c r="L22"/>
  <c r="L33"/>
  <c r="M7"/>
  <c r="M27"/>
  <c r="M42" s="1"/>
  <c r="M12"/>
  <c r="M16"/>
  <c r="M22"/>
  <c r="M10"/>
  <c r="M43" s="1"/>
  <c r="M33"/>
  <c r="K72" i="19"/>
  <c r="K79"/>
  <c r="K82"/>
  <c r="K86"/>
  <c r="K90"/>
  <c r="K100"/>
  <c r="J72"/>
  <c r="J79"/>
  <c r="J82"/>
  <c r="J86"/>
  <c r="J90"/>
  <c r="J100"/>
  <c r="K9"/>
  <c r="K16"/>
  <c r="K26"/>
  <c r="K35"/>
  <c r="K41"/>
  <c r="K49"/>
  <c r="K56"/>
  <c r="J9"/>
  <c r="J16"/>
  <c r="J26"/>
  <c r="J35"/>
  <c r="J41"/>
  <c r="J49"/>
  <c r="J56"/>
  <c r="J12" i="18"/>
  <c r="J57"/>
  <c r="J66"/>
  <c r="J67"/>
  <c r="J7"/>
  <c r="J27"/>
  <c r="J42" s="1"/>
  <c r="J16"/>
  <c r="J22"/>
  <c r="J10"/>
  <c r="J43" s="1"/>
  <c r="J33"/>
  <c r="M45" l="1"/>
  <c r="M46"/>
  <c r="K10"/>
  <c r="K43" s="1"/>
  <c r="K45" s="1"/>
  <c r="L10"/>
  <c r="L43" s="1"/>
  <c r="L46" s="1"/>
  <c r="L45"/>
  <c r="L44"/>
  <c r="L48" s="1"/>
  <c r="L49" s="1"/>
  <c r="J44"/>
  <c r="J48" s="1"/>
  <c r="J46"/>
  <c r="J45"/>
  <c r="L50"/>
  <c r="K46"/>
  <c r="M44"/>
  <c r="M48" s="1"/>
  <c r="M50" s="1"/>
  <c r="K44"/>
  <c r="K48" s="1"/>
  <c r="K49"/>
  <c r="K50"/>
  <c r="J69" i="19"/>
  <c r="J114" s="1"/>
  <c r="K69"/>
  <c r="K114" s="1"/>
  <c r="K40"/>
  <c r="J40"/>
  <c r="J8"/>
  <c r="J66" s="1"/>
  <c r="K8"/>
  <c r="K66" s="1"/>
  <c r="J50" i="18" l="1"/>
  <c r="J49"/>
  <c r="M49"/>
</calcChain>
</file>

<file path=xl/sharedStrings.xml><?xml version="1.0" encoding="utf-8"?>
<sst xmlns="http://schemas.openxmlformats.org/spreadsheetml/2006/main" count="334" uniqueCount="301">
  <si>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</si>
  <si>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</si>
  <si>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</si>
  <si>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</si>
  <si>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</si>
  <si>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</si>
  <si>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</si>
  <si>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</si>
  <si>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</si>
  <si>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</si>
  <si>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</si>
  <si>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</si>
  <si>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</si>
  <si>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</si>
  <si>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</si>
  <si>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</si>
  <si>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</si>
  <si>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</si>
  <si>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</si>
  <si>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</si>
  <si>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</si>
  <si>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</si>
  <si>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</si>
  <si>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</si>
  <si>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</si>
  <si>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</si>
  <si>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</si>
  <si>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</si>
  <si>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</si>
  <si>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</si>
  <si>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</si>
  <si>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</si>
  <si>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</si>
  <si>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</si>
  <si>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</si>
  <si>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</si>
  <si>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</si>
  <si>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</si>
  <si>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</si>
  <si>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</si>
  <si>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</si>
  <si>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</si>
  <si>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</si>
  <si>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</si>
  <si>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</si>
  <si>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</si>
  <si>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</si>
  <si>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</si>
  <si>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</si>
  <si>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</si>
  <si>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</si>
  <si>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</si>
  <si>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</si>
  <si>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</si>
  <si>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</si>
  <si>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</si>
  <si>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</si>
  <si>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</si>
  <si>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</si>
  <si>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</si>
  <si>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</si>
  <si>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</si>
  <si>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</si>
  <si>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</si>
  <si>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</si>
  <si>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</si>
  <si>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</si>
  <si>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</si>
  <si>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</si>
  <si>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</si>
  <si>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</si>
  <si>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</si>
  <si>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</si>
  <si>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</si>
  <si>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</si>
  <si>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</si>
  <si>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</si>
  <si>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</si>
  <si>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</si>
  <si>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</si>
  <si>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</si>
  <si>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</si>
  <si>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</si>
  <si>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</si>
  <si>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</si>
  <si>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</si>
  <si>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</si>
  <si>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</si>
  <si>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</si>
  <si>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</si>
  <si>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</si>
  <si>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</si>
  <si>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</si>
  <si>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</si>
  <si>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</si>
  <si>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</si>
  <si>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</si>
  <si>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</si>
  <si>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</si>
  <si>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</si>
  <si>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</si>
  <si>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</si>
  <si>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</si>
  <si>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 xml:space="preserve">Note 1: Appendix to Balance sheet fill companies who make consolidated financial statements.
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</si>
  <si>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</si>
  <si>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</si>
  <si>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</si>
  <si>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</si>
  <si>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</si>
  <si>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</si>
  <si>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</si>
  <si>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</si>
  <si>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</si>
  <si>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</si>
  <si>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</si>
  <si>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</si>
  <si>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</si>
  <si>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</si>
  <si>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</si>
  <si>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</si>
  <si>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</si>
  <si>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</si>
  <si>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</si>
  <si>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</si>
  <si>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</si>
  <si>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</si>
  <si>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</si>
  <si>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</si>
  <si>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</si>
  <si>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</si>
  <si>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</si>
  <si>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</si>
  <si>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</si>
  <si>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</si>
  <si>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</si>
  <si>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</si>
  <si>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</si>
  <si>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</si>
  <si>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</si>
  <si>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</si>
  <si>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</si>
  <si>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</si>
  <si>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</si>
  <si>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</si>
  <si>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</si>
  <si>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</si>
  <si>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</si>
  <si>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</si>
  <si>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</si>
  <si>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</si>
  <si>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</si>
  <si>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</si>
  <si>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  <charset val="238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</si>
  <si>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</si>
  <si>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</si>
  <si>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</si>
  <si>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</si>
  <si>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</si>
  <si>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</si>
  <si>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</si>
  <si>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</si>
  <si>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</si>
  <si>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</si>
  <si>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</si>
  <si>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</si>
  <si>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</si>
  <si>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</si>
  <si>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</si>
  <si>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</si>
  <si>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</si>
  <si>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</si>
  <si>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</si>
  <si>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</si>
  <si>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</si>
  <si>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</si>
  <si>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</si>
  <si>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</si>
  <si>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</si>
  <si>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</si>
  <si>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</si>
  <si>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</si>
  <si>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</si>
  <si>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</si>
  <si>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</si>
  <si>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</si>
  <si>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</si>
  <si>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</si>
  <si>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</si>
  <si>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</si>
  <si>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</si>
  <si>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</si>
  <si>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</si>
  <si>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</si>
  <si>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</si>
  <si>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</si>
  <si>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</si>
  <si>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</si>
  <si>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</si>
  <si>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</si>
  <si>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</si>
  <si>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</si>
  <si>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</si>
  <si>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</si>
  <si>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</si>
  <si>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</si>
  <si>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</si>
  <si>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</si>
  <si>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</si>
  <si>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</si>
  <si>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</si>
  <si>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</si>
  <si>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</si>
  <si>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</si>
  <si>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</si>
  <si>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</si>
  <si>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</si>
  <si>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</si>
  <si>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</si>
  <si>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</si>
  <si>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</si>
  <si>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</si>
  <si>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</si>
  <si>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</si>
  <si>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</si>
  <si>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</si>
  <si>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</si>
  <si>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</si>
  <si>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</si>
  <si>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</si>
  <si>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</si>
  <si>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</si>
  <si>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</si>
  <si>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</si>
  <si>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</si>
  <si>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</si>
  <si>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</si>
  <si>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</si>
  <si>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</si>
  <si>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</si>
  <si>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</si>
  <si>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</si>
  <si>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</si>
  <si>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</si>
  <si>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</si>
  <si>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</si>
  <si>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</si>
  <si>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</si>
  <si>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</si>
  <si>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</si>
  <si>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</si>
  <si>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</si>
  <si>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</si>
  <si>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</si>
  <si>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</si>
  <si>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</si>
  <si>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</si>
  <si>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</si>
  <si>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</si>
  <si>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</si>
  <si>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1. Financial statements (balance sheet, profit and loss statement, cash flow statement, changes in equity and notes to financial statements)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</si>
  <si>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</si>
  <si>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</si>
  <si>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</si>
  <si>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</si>
  <si>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</si>
  <si>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</si>
  <si>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D)  SHORT TERM LIABILITIES (094 do 105)</t>
  </si>
  <si>
    <t>F) TOTAL LIABILITIES  (062+079+083+093+106)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</si>
  <si>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</si>
  <si>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</si>
  <si>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</si>
  <si>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</si>
  <si>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</si>
  <si>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</si>
  <si>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</si>
  <si>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</si>
  <si>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</si>
  <si>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</si>
  <si>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</si>
  <si>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II. OTHER COMPREHENSIVE INCOME / LOSS BEFORE TAXATION (159 up to 165)</t>
  </si>
  <si>
    <t>01.01.2011.</t>
  </si>
  <si>
    <t>03440494</t>
  </si>
  <si>
    <t>060007090</t>
  </si>
  <si>
    <t>48351740621</t>
  </si>
  <si>
    <t>AD PLASTIK d.d.</t>
  </si>
  <si>
    <t>Matoševa 8</t>
  </si>
  <si>
    <t>Solin</t>
  </si>
  <si>
    <t>adplastik@adplastik.hr</t>
  </si>
  <si>
    <t>www.adplastik.hr</t>
  </si>
  <si>
    <t>Splitsko-dalmatinska</t>
  </si>
  <si>
    <t>2932</t>
  </si>
  <si>
    <t>Marica Jakelić</t>
  </si>
  <si>
    <t>021/206-660</t>
  </si>
  <si>
    <t>marica.jakelic@adplastik.hr</t>
  </si>
  <si>
    <t>Katija Klepo</t>
  </si>
  <si>
    <t>30.09.2011.</t>
  </si>
  <si>
    <t>021/275-660</t>
  </si>
  <si>
    <t>as at 30.09.2011.</t>
  </si>
  <si>
    <t>in period from 01.01.2011. till 30.09.2011.</t>
  </si>
  <si>
    <t>Taxpayer: AD PLASTIK d.d.</t>
  </si>
  <si>
    <t>NO</t>
  </si>
</sst>
</file>

<file path=xl/styles.xml><?xml version="1.0" encoding="utf-8"?>
<styleSheet xmlns="http://schemas.openxmlformats.org/spreadsheetml/2006/main">
  <numFmts count="1">
    <numFmt numFmtId="164" formatCode="000"/>
  </numFmts>
  <fonts count="25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16" fillId="0" borderId="0"/>
  </cellStyleXfs>
  <cellXfs count="284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7" fillId="0" borderId="0" xfId="4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18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19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0" fontId="9" fillId="0" borderId="0" xfId="4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vertical="center"/>
      <protection hidden="1"/>
    </xf>
    <xf numFmtId="3" fontId="2" fillId="0" borderId="1" xfId="5" applyNumberFormat="1" applyFont="1" applyFill="1" applyBorder="1" applyAlignment="1" applyProtection="1">
      <alignment vertical="center"/>
      <protection locked="0"/>
    </xf>
    <xf numFmtId="3" fontId="8" fillId="0" borderId="1" xfId="5" applyNumberFormat="1" applyFont="1" applyFill="1" applyBorder="1" applyAlignment="1" applyProtection="1">
      <alignment vertical="center"/>
      <protection locked="0"/>
    </xf>
    <xf numFmtId="3" fontId="8" fillId="0" borderId="4" xfId="5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1" xfId="5" applyNumberFormat="1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Fill="1" applyBorder="1" applyAlignment="1" applyProtection="1">
      <alignment horizontal="right" vertical="center"/>
      <protection hidden="1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3" fontId="8" fillId="0" borderId="1" xfId="5" applyNumberFormat="1" applyFont="1" applyFill="1" applyBorder="1" applyAlignment="1" applyProtection="1">
      <protection locked="0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24" fillId="0" borderId="18" xfId="1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7" fillId="0" borderId="20" xfId="2" applyFont="1" applyFill="1" applyBorder="1" applyAlignment="1">
      <alignment horizontal="left" vertical="center"/>
    </xf>
    <xf numFmtId="0" fontId="21" fillId="0" borderId="0" xfId="4" applyFont="1" applyBorder="1" applyAlignment="1" applyProtection="1">
      <alignment horizontal="left"/>
      <protection hidden="1"/>
    </xf>
    <xf numFmtId="0" fontId="22" fillId="0" borderId="0" xfId="4" applyFont="1" applyBorder="1" applyAlignment="1"/>
    <xf numFmtId="0" fontId="15" fillId="0" borderId="0" xfId="4" applyFont="1" applyBorder="1" applyAlignment="1" applyProtection="1">
      <alignment horizontal="left" wrapText="1"/>
      <protection hidden="1"/>
    </xf>
    <xf numFmtId="0" fontId="11" fillId="0" borderId="0" xfId="4" applyBorder="1" applyAlignment="1">
      <alignment wrapText="1"/>
    </xf>
    <xf numFmtId="0" fontId="11" fillId="0" borderId="16" xfId="4" applyBorder="1" applyAlignment="1">
      <alignment wrapText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12" fillId="0" borderId="21" xfId="2" applyFont="1" applyBorder="1" applyAlignment="1">
      <alignment wrapText="1"/>
    </xf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 wrapText="1"/>
      <protection hidden="1"/>
    </xf>
    <xf numFmtId="0" fontId="7" fillId="0" borderId="19" xfId="2" applyFont="1" applyFill="1" applyBorder="1" applyAlignment="1">
      <alignment horizontal="left" vertical="center"/>
    </xf>
    <xf numFmtId="0" fontId="24" fillId="0" borderId="18" xfId="1" applyFont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1" fontId="4" fillId="0" borderId="18" xfId="2" applyNumberFormat="1" applyFont="1" applyFill="1" applyBorder="1" applyAlignment="1" applyProtection="1">
      <alignment horizontal="left" vertical="center"/>
      <protection locked="0" hidden="1"/>
    </xf>
    <xf numFmtId="1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9" fillId="0" borderId="0" xfId="4" applyFont="1" applyFill="1" applyBorder="1" applyAlignment="1" applyProtection="1">
      <alignment horizontal="center" vertical="center"/>
      <protection hidden="1"/>
    </xf>
    <xf numFmtId="0" fontId="18" fillId="0" borderId="0" xfId="4" applyFont="1" applyFill="1" applyBorder="1" applyAlignment="1" applyProtection="1">
      <alignment horizontal="center" vertical="center"/>
      <protection hidden="1"/>
    </xf>
    <xf numFmtId="14" fontId="18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</cellXfs>
  <cellStyles count="6">
    <cellStyle name="Hyperlink" xfId="1" builtinId="8"/>
    <cellStyle name="Normal" xfId="0" builtinId="0"/>
    <cellStyle name="Normal 2" xfId="5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FI-POD%20Matica%202011-09%20sa%20bilje&#353;kam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ca.jakelic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adplastik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2"/>
  <sheetViews>
    <sheetView tabSelected="1" view="pageBreakPreview" zoomScale="110" zoomScaleNormal="100" zoomScaleSheetLayoutView="100" workbookViewId="0">
      <selection activeCell="H27" sqref="H27"/>
    </sheetView>
  </sheetViews>
  <sheetFormatPr defaultRowHeight="12.75"/>
  <cols>
    <col min="1" max="1" width="9.140625" style="10"/>
    <col min="2" max="2" width="13" style="10" customWidth="1"/>
    <col min="3" max="4" width="9.140625" style="10"/>
    <col min="5" max="5" width="10.140625" style="10" customWidth="1"/>
    <col min="6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9" ht="15.75">
      <c r="A1" s="160" t="s">
        <v>239</v>
      </c>
      <c r="B1" s="161"/>
      <c r="C1" s="161"/>
      <c r="D1" s="71"/>
      <c r="E1" s="71"/>
      <c r="F1" s="71"/>
      <c r="G1" s="71"/>
      <c r="H1" s="71"/>
      <c r="I1" s="72"/>
    </row>
    <row r="2" spans="1:9">
      <c r="A2" s="191" t="s">
        <v>240</v>
      </c>
      <c r="B2" s="192"/>
      <c r="C2" s="192"/>
      <c r="D2" s="193"/>
      <c r="E2" s="106" t="s">
        <v>280</v>
      </c>
      <c r="F2" s="11"/>
      <c r="G2" s="12" t="s">
        <v>215</v>
      </c>
      <c r="H2" s="106" t="s">
        <v>295</v>
      </c>
      <c r="I2" s="73"/>
    </row>
    <row r="3" spans="1:9">
      <c r="A3" s="74"/>
      <c r="B3" s="13"/>
      <c r="C3" s="13"/>
      <c r="D3" s="13"/>
      <c r="E3" s="14"/>
      <c r="F3" s="14"/>
      <c r="G3" s="13"/>
      <c r="H3" s="13"/>
      <c r="I3" s="75"/>
    </row>
    <row r="4" spans="1:9" ht="15">
      <c r="A4" s="194" t="s">
        <v>241</v>
      </c>
      <c r="B4" s="195"/>
      <c r="C4" s="195"/>
      <c r="D4" s="195"/>
      <c r="E4" s="195"/>
      <c r="F4" s="195"/>
      <c r="G4" s="195"/>
      <c r="H4" s="195"/>
      <c r="I4" s="196"/>
    </row>
    <row r="5" spans="1:9">
      <c r="A5" s="76"/>
      <c r="B5" s="15"/>
      <c r="C5" s="15"/>
      <c r="D5" s="15"/>
      <c r="E5" s="16"/>
      <c r="F5" s="77"/>
      <c r="G5" s="17"/>
      <c r="H5" s="18"/>
      <c r="I5" s="78"/>
    </row>
    <row r="6" spans="1:9">
      <c r="A6" s="140" t="s">
        <v>242</v>
      </c>
      <c r="B6" s="141"/>
      <c r="C6" s="155" t="s">
        <v>281</v>
      </c>
      <c r="D6" s="156"/>
      <c r="E6" s="28"/>
      <c r="F6" s="28"/>
      <c r="G6" s="28"/>
      <c r="H6" s="28"/>
      <c r="I6" s="79"/>
    </row>
    <row r="7" spans="1:9">
      <c r="A7" s="80"/>
      <c r="B7" s="21"/>
      <c r="C7" s="15"/>
      <c r="D7" s="15"/>
      <c r="E7" s="28"/>
      <c r="F7" s="28"/>
      <c r="G7" s="28"/>
      <c r="H7" s="28"/>
      <c r="I7" s="79"/>
    </row>
    <row r="8" spans="1:9">
      <c r="A8" s="197" t="s">
        <v>243</v>
      </c>
      <c r="B8" s="198"/>
      <c r="C8" s="155" t="s">
        <v>282</v>
      </c>
      <c r="D8" s="156"/>
      <c r="E8" s="28"/>
      <c r="F8" s="28"/>
      <c r="G8" s="28"/>
      <c r="H8" s="28"/>
      <c r="I8" s="81"/>
    </row>
    <row r="9" spans="1:9">
      <c r="A9" s="82"/>
      <c r="B9" s="45"/>
      <c r="C9" s="19"/>
      <c r="D9" s="25"/>
      <c r="E9" s="15"/>
      <c r="F9" s="15"/>
      <c r="G9" s="15"/>
      <c r="H9" s="15"/>
      <c r="I9" s="81"/>
    </row>
    <row r="10" spans="1:9">
      <c r="A10" s="135" t="s">
        <v>244</v>
      </c>
      <c r="B10" s="189"/>
      <c r="C10" s="155" t="s">
        <v>283</v>
      </c>
      <c r="D10" s="156"/>
      <c r="E10" s="15"/>
      <c r="F10" s="15"/>
      <c r="G10" s="15"/>
      <c r="H10" s="15"/>
      <c r="I10" s="81"/>
    </row>
    <row r="11" spans="1:9" ht="13.5" customHeight="1">
      <c r="A11" s="190"/>
      <c r="B11" s="189"/>
      <c r="C11" s="15"/>
      <c r="D11" s="15"/>
      <c r="E11" s="15"/>
      <c r="F11" s="15"/>
      <c r="G11" s="15"/>
      <c r="H11" s="15"/>
      <c r="I11" s="81"/>
    </row>
    <row r="12" spans="1:9">
      <c r="A12" s="140" t="s">
        <v>245</v>
      </c>
      <c r="B12" s="141"/>
      <c r="C12" s="157" t="s">
        <v>284</v>
      </c>
      <c r="D12" s="183"/>
      <c r="E12" s="183"/>
      <c r="F12" s="183"/>
      <c r="G12" s="183"/>
      <c r="H12" s="183"/>
      <c r="I12" s="143"/>
    </row>
    <row r="13" spans="1:9">
      <c r="A13" s="80"/>
      <c r="B13" s="21"/>
      <c r="C13" s="20"/>
      <c r="D13" s="15"/>
      <c r="E13" s="15"/>
      <c r="F13" s="15"/>
      <c r="G13" s="15"/>
      <c r="H13" s="15"/>
      <c r="I13" s="81"/>
    </row>
    <row r="14" spans="1:9">
      <c r="A14" s="140" t="s">
        <v>227</v>
      </c>
      <c r="B14" s="141"/>
      <c r="C14" s="187">
        <v>21210</v>
      </c>
      <c r="D14" s="188"/>
      <c r="E14" s="15"/>
      <c r="F14" s="157" t="s">
        <v>286</v>
      </c>
      <c r="G14" s="183"/>
      <c r="H14" s="183"/>
      <c r="I14" s="143"/>
    </row>
    <row r="15" spans="1:9" ht="13.5" customHeight="1">
      <c r="A15" s="80"/>
      <c r="B15" s="21"/>
      <c r="C15" s="15"/>
      <c r="D15" s="15"/>
      <c r="E15" s="15"/>
      <c r="F15" s="15"/>
      <c r="G15" s="15"/>
      <c r="H15" s="15"/>
      <c r="I15" s="81"/>
    </row>
    <row r="16" spans="1:9">
      <c r="A16" s="140" t="s">
        <v>246</v>
      </c>
      <c r="B16" s="141"/>
      <c r="C16" s="157" t="s">
        <v>285</v>
      </c>
      <c r="D16" s="183"/>
      <c r="E16" s="183"/>
      <c r="F16" s="183"/>
      <c r="G16" s="183"/>
      <c r="H16" s="183"/>
      <c r="I16" s="143"/>
    </row>
    <row r="17" spans="1:9" ht="13.5" customHeight="1">
      <c r="A17" s="80"/>
      <c r="B17" s="21"/>
      <c r="C17" s="15"/>
      <c r="D17" s="15"/>
      <c r="E17" s="15"/>
      <c r="F17" s="15"/>
      <c r="G17" s="15"/>
      <c r="H17" s="15"/>
      <c r="I17" s="81"/>
    </row>
    <row r="18" spans="1:9">
      <c r="A18" s="140" t="s">
        <v>233</v>
      </c>
      <c r="B18" s="141"/>
      <c r="C18" s="184" t="s">
        <v>287</v>
      </c>
      <c r="D18" s="185"/>
      <c r="E18" s="185"/>
      <c r="F18" s="185"/>
      <c r="G18" s="185"/>
      <c r="H18" s="185"/>
      <c r="I18" s="186"/>
    </row>
    <row r="19" spans="1:9" ht="13.5" customHeight="1">
      <c r="A19" s="80"/>
      <c r="B19" s="21"/>
      <c r="C19" s="20"/>
      <c r="D19" s="15"/>
      <c r="E19" s="15"/>
      <c r="F19" s="15"/>
      <c r="G19" s="15"/>
      <c r="H19" s="15"/>
      <c r="I19" s="81"/>
    </row>
    <row r="20" spans="1:9">
      <c r="A20" s="140" t="s">
        <v>247</v>
      </c>
      <c r="B20" s="141"/>
      <c r="C20" s="184" t="s">
        <v>288</v>
      </c>
      <c r="D20" s="185"/>
      <c r="E20" s="185"/>
      <c r="F20" s="185"/>
      <c r="G20" s="185"/>
      <c r="H20" s="185"/>
      <c r="I20" s="186"/>
    </row>
    <row r="21" spans="1:9">
      <c r="A21" s="80"/>
      <c r="B21" s="21"/>
      <c r="C21" s="20"/>
      <c r="D21" s="15"/>
      <c r="E21" s="15"/>
      <c r="F21" s="15"/>
      <c r="G21" s="15"/>
      <c r="H21" s="15"/>
      <c r="I21" s="81"/>
    </row>
    <row r="22" spans="1:9">
      <c r="A22" s="135" t="s">
        <v>250</v>
      </c>
      <c r="B22" s="182"/>
      <c r="C22" s="107">
        <v>406</v>
      </c>
      <c r="D22" s="157" t="s">
        <v>286</v>
      </c>
      <c r="E22" s="179"/>
      <c r="F22" s="180"/>
      <c r="G22" s="140"/>
      <c r="H22" s="181"/>
      <c r="I22" s="83"/>
    </row>
    <row r="23" spans="1:9" ht="20.25" customHeight="1">
      <c r="A23" s="135"/>
      <c r="B23" s="182"/>
      <c r="C23" s="15"/>
      <c r="D23" s="23"/>
      <c r="E23" s="23"/>
      <c r="F23" s="23"/>
      <c r="G23" s="23"/>
      <c r="H23" s="15"/>
      <c r="I23" s="81"/>
    </row>
    <row r="24" spans="1:9" ht="12.75" customHeight="1">
      <c r="A24" s="140" t="s">
        <v>249</v>
      </c>
      <c r="B24" s="141"/>
      <c r="C24" s="107">
        <v>17</v>
      </c>
      <c r="D24" s="157" t="s">
        <v>289</v>
      </c>
      <c r="E24" s="179"/>
      <c r="F24" s="179"/>
      <c r="G24" s="180"/>
      <c r="H24" s="46" t="s">
        <v>251</v>
      </c>
      <c r="I24" s="108">
        <v>834</v>
      </c>
    </row>
    <row r="25" spans="1:9">
      <c r="A25" s="80"/>
      <c r="B25" s="21"/>
      <c r="C25" s="15"/>
      <c r="D25" s="23"/>
      <c r="E25" s="23"/>
      <c r="F25" s="23"/>
      <c r="G25" s="21"/>
      <c r="H25" s="21" t="s">
        <v>228</v>
      </c>
      <c r="I25" s="84"/>
    </row>
    <row r="26" spans="1:9">
      <c r="A26" s="140" t="s">
        <v>248</v>
      </c>
      <c r="B26" s="141"/>
      <c r="C26" s="109" t="s">
        <v>300</v>
      </c>
      <c r="D26" s="24"/>
      <c r="E26" s="32"/>
      <c r="F26" s="23"/>
      <c r="G26" s="171" t="s">
        <v>229</v>
      </c>
      <c r="H26" s="141"/>
      <c r="I26" s="110" t="s">
        <v>290</v>
      </c>
    </row>
    <row r="27" spans="1:9" ht="19.5" customHeight="1">
      <c r="A27" s="80"/>
      <c r="B27" s="21"/>
      <c r="C27" s="15"/>
      <c r="D27" s="23"/>
      <c r="E27" s="23"/>
      <c r="F27" s="23"/>
      <c r="G27" s="23"/>
      <c r="H27" s="15"/>
      <c r="I27" s="85"/>
    </row>
    <row r="28" spans="1:9">
      <c r="A28" s="172" t="s">
        <v>230</v>
      </c>
      <c r="B28" s="173"/>
      <c r="C28" s="174"/>
      <c r="D28" s="174"/>
      <c r="E28" s="175" t="s">
        <v>231</v>
      </c>
      <c r="F28" s="176"/>
      <c r="G28" s="176"/>
      <c r="H28" s="177" t="s">
        <v>252</v>
      </c>
      <c r="I28" s="178"/>
    </row>
    <row r="29" spans="1:9">
      <c r="A29" s="86"/>
      <c r="B29" s="32"/>
      <c r="C29" s="32"/>
      <c r="D29" s="25"/>
      <c r="E29" s="15"/>
      <c r="F29" s="15"/>
      <c r="G29" s="15"/>
      <c r="H29" s="26"/>
      <c r="I29" s="85"/>
    </row>
    <row r="30" spans="1:9">
      <c r="A30" s="168"/>
      <c r="B30" s="158"/>
      <c r="C30" s="158"/>
      <c r="D30" s="159"/>
      <c r="E30" s="168"/>
      <c r="F30" s="158"/>
      <c r="G30" s="158"/>
      <c r="H30" s="155"/>
      <c r="I30" s="156"/>
    </row>
    <row r="31" spans="1:9">
      <c r="A31" s="80"/>
      <c r="B31" s="21"/>
      <c r="C31" s="20"/>
      <c r="D31" s="169"/>
      <c r="E31" s="169"/>
      <c r="F31" s="169"/>
      <c r="G31" s="170"/>
      <c r="H31" s="15"/>
      <c r="I31" s="87"/>
    </row>
    <row r="32" spans="1:9">
      <c r="A32" s="168"/>
      <c r="B32" s="158"/>
      <c r="C32" s="158"/>
      <c r="D32" s="159"/>
      <c r="E32" s="168"/>
      <c r="F32" s="158"/>
      <c r="G32" s="158"/>
      <c r="H32" s="155"/>
      <c r="I32" s="156"/>
    </row>
    <row r="33" spans="1:9">
      <c r="A33" s="80"/>
      <c r="B33" s="21"/>
      <c r="C33" s="20"/>
      <c r="D33" s="27"/>
      <c r="E33" s="27"/>
      <c r="F33" s="27"/>
      <c r="G33" s="28"/>
      <c r="H33" s="15"/>
      <c r="I33" s="88"/>
    </row>
    <row r="34" spans="1:9">
      <c r="A34" s="168"/>
      <c r="B34" s="158"/>
      <c r="C34" s="158"/>
      <c r="D34" s="159"/>
      <c r="E34" s="168"/>
      <c r="F34" s="158"/>
      <c r="G34" s="158"/>
      <c r="H34" s="155"/>
      <c r="I34" s="156"/>
    </row>
    <row r="35" spans="1:9">
      <c r="A35" s="80"/>
      <c r="B35" s="21"/>
      <c r="C35" s="20"/>
      <c r="D35" s="27"/>
      <c r="E35" s="27"/>
      <c r="F35" s="27"/>
      <c r="G35" s="28"/>
      <c r="H35" s="15"/>
      <c r="I35" s="88"/>
    </row>
    <row r="36" spans="1:9">
      <c r="A36" s="168"/>
      <c r="B36" s="158"/>
      <c r="C36" s="158"/>
      <c r="D36" s="159"/>
      <c r="E36" s="168"/>
      <c r="F36" s="158"/>
      <c r="G36" s="158"/>
      <c r="H36" s="155"/>
      <c r="I36" s="156"/>
    </row>
    <row r="37" spans="1:9">
      <c r="A37" s="89"/>
      <c r="B37" s="29"/>
      <c r="C37" s="163"/>
      <c r="D37" s="164"/>
      <c r="E37" s="15"/>
      <c r="F37" s="163"/>
      <c r="G37" s="164"/>
      <c r="H37" s="15"/>
      <c r="I37" s="81"/>
    </row>
    <row r="38" spans="1:9">
      <c r="A38" s="168"/>
      <c r="B38" s="158"/>
      <c r="C38" s="158"/>
      <c r="D38" s="159"/>
      <c r="E38" s="168"/>
      <c r="F38" s="158"/>
      <c r="G38" s="158"/>
      <c r="H38" s="155"/>
      <c r="I38" s="156"/>
    </row>
    <row r="39" spans="1:9">
      <c r="A39" s="89"/>
      <c r="B39" s="29"/>
      <c r="C39" s="30"/>
      <c r="D39" s="31"/>
      <c r="E39" s="15"/>
      <c r="F39" s="30"/>
      <c r="G39" s="31"/>
      <c r="H39" s="15"/>
      <c r="I39" s="81"/>
    </row>
    <row r="40" spans="1:9">
      <c r="A40" s="168"/>
      <c r="B40" s="158"/>
      <c r="C40" s="158"/>
      <c r="D40" s="159"/>
      <c r="E40" s="168"/>
      <c r="F40" s="158"/>
      <c r="G40" s="158"/>
      <c r="H40" s="155"/>
      <c r="I40" s="156"/>
    </row>
    <row r="41" spans="1:9">
      <c r="A41" s="111"/>
      <c r="B41" s="32"/>
      <c r="C41" s="32"/>
      <c r="D41" s="32"/>
      <c r="E41" s="22"/>
      <c r="F41" s="112"/>
      <c r="G41" s="112"/>
      <c r="H41" s="113"/>
      <c r="I41" s="90"/>
    </row>
    <row r="42" spans="1:9">
      <c r="A42" s="89"/>
      <c r="B42" s="29"/>
      <c r="C42" s="30"/>
      <c r="D42" s="31"/>
      <c r="E42" s="15"/>
      <c r="F42" s="30"/>
      <c r="G42" s="31"/>
      <c r="H42" s="15"/>
      <c r="I42" s="81"/>
    </row>
    <row r="43" spans="1:9" ht="13.5" customHeight="1">
      <c r="A43" s="91"/>
      <c r="B43" s="33"/>
      <c r="C43" s="33"/>
      <c r="D43" s="19"/>
      <c r="E43" s="19"/>
      <c r="F43" s="33"/>
      <c r="G43" s="19"/>
      <c r="H43" s="19"/>
      <c r="I43" s="92"/>
    </row>
    <row r="44" spans="1:9" ht="12.75" customHeight="1">
      <c r="A44" s="135" t="s">
        <v>253</v>
      </c>
      <c r="B44" s="136"/>
      <c r="C44" s="155"/>
      <c r="D44" s="156"/>
      <c r="E44" s="25"/>
      <c r="F44" s="157"/>
      <c r="G44" s="158"/>
      <c r="H44" s="158"/>
      <c r="I44" s="159"/>
    </row>
    <row r="45" spans="1:9" ht="13.5" customHeight="1">
      <c r="A45" s="89"/>
      <c r="B45" s="29"/>
      <c r="C45" s="163"/>
      <c r="D45" s="164"/>
      <c r="E45" s="15"/>
      <c r="F45" s="163"/>
      <c r="G45" s="165"/>
      <c r="H45" s="34"/>
      <c r="I45" s="93"/>
    </row>
    <row r="46" spans="1:9">
      <c r="A46" s="135" t="s">
        <v>254</v>
      </c>
      <c r="B46" s="136"/>
      <c r="C46" s="157" t="s">
        <v>291</v>
      </c>
      <c r="D46" s="166"/>
      <c r="E46" s="166"/>
      <c r="F46" s="166"/>
      <c r="G46" s="166"/>
      <c r="H46" s="166"/>
      <c r="I46" s="167"/>
    </row>
    <row r="47" spans="1:9" ht="13.5" customHeight="1">
      <c r="A47" s="80"/>
      <c r="B47" s="21"/>
      <c r="C47" s="20" t="s">
        <v>232</v>
      </c>
      <c r="D47" s="15"/>
      <c r="E47" s="15"/>
      <c r="F47" s="15"/>
      <c r="G47" s="15"/>
      <c r="H47" s="15"/>
      <c r="I47" s="81"/>
    </row>
    <row r="48" spans="1:9">
      <c r="A48" s="135" t="s">
        <v>255</v>
      </c>
      <c r="B48" s="136"/>
      <c r="C48" s="142" t="s">
        <v>292</v>
      </c>
      <c r="D48" s="138"/>
      <c r="E48" s="139"/>
      <c r="F48" s="15"/>
      <c r="G48" s="46" t="s">
        <v>256</v>
      </c>
      <c r="H48" s="142" t="s">
        <v>296</v>
      </c>
      <c r="I48" s="139"/>
    </row>
    <row r="49" spans="1:9">
      <c r="A49" s="80"/>
      <c r="B49" s="21"/>
      <c r="C49" s="20"/>
      <c r="D49" s="15"/>
      <c r="E49" s="15"/>
      <c r="F49" s="15"/>
      <c r="G49" s="15"/>
      <c r="H49" s="15"/>
      <c r="I49" s="81"/>
    </row>
    <row r="50" spans="1:9" ht="12.75" customHeight="1">
      <c r="A50" s="135" t="s">
        <v>233</v>
      </c>
      <c r="B50" s="136"/>
      <c r="C50" s="137" t="s">
        <v>293</v>
      </c>
      <c r="D50" s="138"/>
      <c r="E50" s="138"/>
      <c r="F50" s="138"/>
      <c r="G50" s="138"/>
      <c r="H50" s="138"/>
      <c r="I50" s="139"/>
    </row>
    <row r="51" spans="1:9">
      <c r="A51" s="80"/>
      <c r="B51" s="21"/>
      <c r="C51" s="15"/>
      <c r="D51" s="15"/>
      <c r="E51" s="15"/>
      <c r="F51" s="15"/>
      <c r="G51" s="15"/>
      <c r="H51" s="15"/>
      <c r="I51" s="81"/>
    </row>
    <row r="52" spans="1:9">
      <c r="A52" s="140" t="s">
        <v>234</v>
      </c>
      <c r="B52" s="141"/>
      <c r="C52" s="142" t="s">
        <v>294</v>
      </c>
      <c r="D52" s="138"/>
      <c r="E52" s="138"/>
      <c r="F52" s="138"/>
      <c r="G52" s="138"/>
      <c r="H52" s="138"/>
      <c r="I52" s="143"/>
    </row>
    <row r="53" spans="1:9">
      <c r="A53" s="94"/>
      <c r="B53" s="19"/>
      <c r="C53" s="162" t="s">
        <v>235</v>
      </c>
      <c r="D53" s="162"/>
      <c r="E53" s="162"/>
      <c r="F53" s="162"/>
      <c r="G53" s="162"/>
      <c r="H53" s="162"/>
      <c r="I53" s="95"/>
    </row>
    <row r="54" spans="1:9">
      <c r="A54" s="94"/>
      <c r="B54" s="19"/>
      <c r="C54" s="35"/>
      <c r="D54" s="35"/>
      <c r="E54" s="35"/>
      <c r="F54" s="35"/>
      <c r="G54" s="35"/>
      <c r="H54" s="35"/>
      <c r="I54" s="95"/>
    </row>
    <row r="55" spans="1:9">
      <c r="A55" s="94"/>
      <c r="B55" s="144" t="s">
        <v>236</v>
      </c>
      <c r="C55" s="145"/>
      <c r="D55" s="145"/>
      <c r="E55" s="145"/>
      <c r="F55" s="44"/>
      <c r="G55" s="44"/>
      <c r="H55" s="44"/>
      <c r="I55" s="96"/>
    </row>
    <row r="56" spans="1:9" ht="33" customHeight="1">
      <c r="A56" s="94"/>
      <c r="B56" s="146" t="s">
        <v>259</v>
      </c>
      <c r="C56" s="147"/>
      <c r="D56" s="147"/>
      <c r="E56" s="147"/>
      <c r="F56" s="147"/>
      <c r="G56" s="147"/>
      <c r="H56" s="147"/>
      <c r="I56" s="148"/>
    </row>
    <row r="57" spans="1:9">
      <c r="A57" s="94"/>
      <c r="B57" s="149" t="s">
        <v>258</v>
      </c>
      <c r="C57" s="150"/>
      <c r="D57" s="150"/>
      <c r="E57" s="150"/>
      <c r="F57" s="150"/>
      <c r="G57" s="150"/>
      <c r="H57" s="150"/>
      <c r="I57" s="151"/>
    </row>
    <row r="58" spans="1:9">
      <c r="A58" s="94"/>
      <c r="B58" s="149" t="s">
        <v>257</v>
      </c>
      <c r="C58" s="150"/>
      <c r="D58" s="150"/>
      <c r="E58" s="150"/>
      <c r="F58" s="150"/>
      <c r="G58" s="150"/>
      <c r="H58" s="150"/>
      <c r="I58" s="151"/>
    </row>
    <row r="59" spans="1:9">
      <c r="A59" s="94"/>
      <c r="B59" s="97"/>
      <c r="C59" s="98"/>
      <c r="D59" s="98"/>
      <c r="E59" s="98"/>
      <c r="F59" s="98"/>
      <c r="G59" s="98"/>
      <c r="H59" s="98"/>
      <c r="I59" s="99"/>
    </row>
    <row r="60" spans="1:9" ht="13.5" thickBot="1">
      <c r="A60" s="100" t="s">
        <v>1</v>
      </c>
      <c r="B60" s="15"/>
      <c r="C60" s="15"/>
      <c r="D60" s="15"/>
      <c r="E60" s="15"/>
      <c r="F60" s="15"/>
      <c r="G60" s="36"/>
      <c r="H60" s="37"/>
      <c r="I60" s="101"/>
    </row>
    <row r="61" spans="1:9">
      <c r="A61" s="76"/>
      <c r="B61" s="15"/>
      <c r="C61" s="15"/>
      <c r="D61" s="15"/>
      <c r="E61" s="29" t="s">
        <v>238</v>
      </c>
      <c r="F61" s="32"/>
      <c r="G61" s="152" t="s">
        <v>237</v>
      </c>
      <c r="H61" s="153"/>
      <c r="I61" s="154"/>
    </row>
    <row r="62" spans="1:9">
      <c r="A62" s="102"/>
      <c r="B62" s="103"/>
      <c r="C62" s="104"/>
      <c r="D62" s="104"/>
      <c r="E62" s="104"/>
      <c r="F62" s="104"/>
      <c r="G62" s="133"/>
      <c r="H62" s="134"/>
      <c r="I62" s="105"/>
    </row>
  </sheetData>
  <protectedRanges>
    <protectedRange sqref="E2 H2 C6:D6 C8:D8 C10:D10 C12:I12 C14:D14 F14:I14 C16:I16 C18:I18 C20:I20 C24:G24 C22:F22 C26 I26 I24 A30:I30 A32:I32 A34:D34" name="Range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46:B46"/>
    <mergeCell ref="A44:B44"/>
    <mergeCell ref="C44:D44"/>
    <mergeCell ref="F44:I44"/>
    <mergeCell ref="A48:B48"/>
    <mergeCell ref="C48:E48"/>
    <mergeCell ref="H48:I48"/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Normal="100" workbookViewId="0">
      <selection activeCell="M76" sqref="M76"/>
    </sheetView>
  </sheetViews>
  <sheetFormatPr defaultRowHeight="12.75"/>
  <cols>
    <col min="1" max="9" width="9.140625" style="47"/>
    <col min="10" max="11" width="12.7109375" style="47" customWidth="1"/>
    <col min="12" max="16384" width="9.140625" style="47"/>
  </cols>
  <sheetData>
    <row r="1" spans="1:11" ht="16.5" customHeight="1">
      <c r="A1" s="199" t="s">
        <v>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6.5" customHeight="1">
      <c r="A2" s="200" t="s">
        <v>297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6.5" customHeight="1">
      <c r="A3" s="201" t="s">
        <v>299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24">
      <c r="A4" s="204" t="s">
        <v>5</v>
      </c>
      <c r="B4" s="205"/>
      <c r="C4" s="205"/>
      <c r="D4" s="205"/>
      <c r="E4" s="205"/>
      <c r="F4" s="205"/>
      <c r="G4" s="205"/>
      <c r="H4" s="206"/>
      <c r="I4" s="52" t="s">
        <v>6</v>
      </c>
      <c r="J4" s="53" t="s">
        <v>7</v>
      </c>
      <c r="K4" s="54" t="s">
        <v>8</v>
      </c>
    </row>
    <row r="5" spans="1:11">
      <c r="A5" s="213">
        <v>1</v>
      </c>
      <c r="B5" s="213"/>
      <c r="C5" s="213"/>
      <c r="D5" s="213"/>
      <c r="E5" s="213"/>
      <c r="F5" s="213"/>
      <c r="G5" s="213"/>
      <c r="H5" s="213"/>
      <c r="I5" s="51">
        <v>2</v>
      </c>
      <c r="J5" s="50">
        <v>3</v>
      </c>
      <c r="K5" s="50">
        <v>4</v>
      </c>
    </row>
    <row r="6" spans="1:11">
      <c r="A6" s="214" t="s">
        <v>61</v>
      </c>
      <c r="B6" s="215"/>
      <c r="C6" s="215"/>
      <c r="D6" s="215"/>
      <c r="E6" s="215"/>
      <c r="F6" s="215"/>
      <c r="G6" s="215"/>
      <c r="H6" s="215"/>
      <c r="I6" s="215"/>
      <c r="J6" s="215"/>
      <c r="K6" s="216"/>
    </row>
    <row r="7" spans="1:11">
      <c r="A7" s="217" t="s">
        <v>9</v>
      </c>
      <c r="B7" s="218"/>
      <c r="C7" s="218"/>
      <c r="D7" s="218"/>
      <c r="E7" s="218"/>
      <c r="F7" s="218"/>
      <c r="G7" s="218"/>
      <c r="H7" s="219"/>
      <c r="I7" s="3">
        <v>1</v>
      </c>
      <c r="J7" s="117"/>
      <c r="K7" s="117"/>
    </row>
    <row r="8" spans="1:11">
      <c r="A8" s="210" t="s">
        <v>260</v>
      </c>
      <c r="B8" s="211"/>
      <c r="C8" s="211"/>
      <c r="D8" s="211"/>
      <c r="E8" s="211"/>
      <c r="F8" s="211"/>
      <c r="G8" s="211"/>
      <c r="H8" s="212"/>
      <c r="I8" s="1">
        <v>2</v>
      </c>
      <c r="J8" s="118">
        <f>J9+J16+J26+J35+J39</f>
        <v>683393883</v>
      </c>
      <c r="K8" s="118">
        <f>K9+K16+K26+K35+K39</f>
        <v>723067916</v>
      </c>
    </row>
    <row r="9" spans="1:11">
      <c r="A9" s="210" t="s">
        <v>10</v>
      </c>
      <c r="B9" s="211"/>
      <c r="C9" s="211"/>
      <c r="D9" s="211"/>
      <c r="E9" s="211"/>
      <c r="F9" s="211"/>
      <c r="G9" s="211"/>
      <c r="H9" s="212"/>
      <c r="I9" s="1">
        <v>3</v>
      </c>
      <c r="J9" s="118">
        <f>SUM(J10:J15)</f>
        <v>41068786</v>
      </c>
      <c r="K9" s="118">
        <f>SUM(K10:K15)</f>
        <v>35714846</v>
      </c>
    </row>
    <row r="10" spans="1:11">
      <c r="A10" s="207" t="s">
        <v>11</v>
      </c>
      <c r="B10" s="208"/>
      <c r="C10" s="208"/>
      <c r="D10" s="208"/>
      <c r="E10" s="208"/>
      <c r="F10" s="208"/>
      <c r="G10" s="208"/>
      <c r="H10" s="209"/>
      <c r="I10" s="1">
        <v>4</v>
      </c>
      <c r="J10" s="7">
        <v>40667370</v>
      </c>
      <c r="K10" s="124">
        <v>35184235</v>
      </c>
    </row>
    <row r="11" spans="1:11">
      <c r="A11" s="207" t="s">
        <v>12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401416</v>
      </c>
      <c r="K11" s="124">
        <v>530611</v>
      </c>
    </row>
    <row r="12" spans="1:11">
      <c r="A12" s="207" t="s">
        <v>0</v>
      </c>
      <c r="B12" s="208"/>
      <c r="C12" s="208"/>
      <c r="D12" s="208"/>
      <c r="E12" s="208"/>
      <c r="F12" s="208"/>
      <c r="G12" s="208"/>
      <c r="H12" s="209"/>
      <c r="I12" s="1">
        <v>6</v>
      </c>
      <c r="J12" s="7"/>
      <c r="K12" s="7"/>
    </row>
    <row r="13" spans="1:11">
      <c r="A13" s="207" t="s">
        <v>13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>
      <c r="A14" s="207" t="s">
        <v>14</v>
      </c>
      <c r="B14" s="208"/>
      <c r="C14" s="208"/>
      <c r="D14" s="208"/>
      <c r="E14" s="208"/>
      <c r="F14" s="208"/>
      <c r="G14" s="208"/>
      <c r="H14" s="209"/>
      <c r="I14" s="1">
        <v>8</v>
      </c>
      <c r="J14" s="7"/>
      <c r="K14" s="7"/>
    </row>
    <row r="15" spans="1:11">
      <c r="A15" s="207" t="s">
        <v>15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/>
    </row>
    <row r="16" spans="1:11">
      <c r="A16" s="210" t="s">
        <v>16</v>
      </c>
      <c r="B16" s="211"/>
      <c r="C16" s="211"/>
      <c r="D16" s="211"/>
      <c r="E16" s="211"/>
      <c r="F16" s="211"/>
      <c r="G16" s="211"/>
      <c r="H16" s="212"/>
      <c r="I16" s="1">
        <v>10</v>
      </c>
      <c r="J16" s="118">
        <f>SUM(J17:J25)</f>
        <v>440520255</v>
      </c>
      <c r="K16" s="118">
        <f>SUM(K17:K25)</f>
        <v>428081942</v>
      </c>
    </row>
    <row r="17" spans="1:11">
      <c r="A17" s="207" t="s">
        <v>17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134619737</v>
      </c>
      <c r="K17" s="124">
        <v>135048372</v>
      </c>
    </row>
    <row r="18" spans="1:11">
      <c r="A18" s="207" t="s">
        <v>18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170463291</v>
      </c>
      <c r="K18" s="124">
        <f>226329085+352820-56731341-73822-130483</f>
        <v>169746259</v>
      </c>
    </row>
    <row r="19" spans="1:11">
      <c r="A19" s="207" t="s">
        <v>19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125573646</v>
      </c>
      <c r="K19" s="124">
        <f>274123645+4215828-161017327-4204827-96121</f>
        <v>113021198</v>
      </c>
    </row>
    <row r="20" spans="1:11">
      <c r="A20" s="207" t="s">
        <v>20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7236660</v>
      </c>
      <c r="K20" s="124">
        <f>5408025+4212384+1708502+13649986+2952432+2215300-4827697-3333029-1371543-2581-11297218-2518462-838530-151218-5572</f>
        <v>5800779</v>
      </c>
    </row>
    <row r="21" spans="1:11">
      <c r="A21" s="207" t="s">
        <v>21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124"/>
    </row>
    <row r="22" spans="1:11">
      <c r="A22" s="207" t="s">
        <v>22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/>
      <c r="K22" s="124"/>
    </row>
    <row r="23" spans="1:11">
      <c r="A23" s="207" t="s">
        <v>23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2626921</v>
      </c>
      <c r="K23" s="124">
        <v>4465334</v>
      </c>
    </row>
    <row r="24" spans="1:11">
      <c r="A24" s="207" t="s">
        <v>24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/>
      <c r="K24" s="124"/>
    </row>
    <row r="25" spans="1:11">
      <c r="A25" s="207" t="s">
        <v>25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/>
      <c r="K25" s="124"/>
    </row>
    <row r="26" spans="1:11">
      <c r="A26" s="210" t="s">
        <v>26</v>
      </c>
      <c r="B26" s="211"/>
      <c r="C26" s="211"/>
      <c r="D26" s="211"/>
      <c r="E26" s="211"/>
      <c r="F26" s="211"/>
      <c r="G26" s="211"/>
      <c r="H26" s="212"/>
      <c r="I26" s="1">
        <v>20</v>
      </c>
      <c r="J26" s="118">
        <f>SUM(J27:J34)</f>
        <v>201138391</v>
      </c>
      <c r="K26" s="118">
        <f>SUM(K27:K34)</f>
        <v>258604677</v>
      </c>
    </row>
    <row r="27" spans="1:11">
      <c r="A27" s="207" t="s">
        <v>27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74678639</v>
      </c>
      <c r="K27" s="124">
        <f>204286+13464868+250007+61012475</f>
        <v>74931636</v>
      </c>
    </row>
    <row r="28" spans="1:11">
      <c r="A28" s="207" t="s">
        <v>30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>
        <v>44838550</v>
      </c>
      <c r="K28" s="124">
        <f>8562312+8562312+24583200+14156070</f>
        <v>55863894</v>
      </c>
    </row>
    <row r="29" spans="1:11">
      <c r="A29" s="207" t="s">
        <v>29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52561385</v>
      </c>
      <c r="K29" s="124">
        <f>21755155+335942+30220288</f>
        <v>52311385</v>
      </c>
    </row>
    <row r="30" spans="1:11">
      <c r="A30" s="207" t="s">
        <v>28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>
        <v>28564380</v>
      </c>
      <c r="K30" s="124">
        <v>50927325</v>
      </c>
    </row>
    <row r="31" spans="1:11">
      <c r="A31" s="207" t="s">
        <v>31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>
        <v>63855</v>
      </c>
      <c r="K31" s="124">
        <f>2155+61700</f>
        <v>63855</v>
      </c>
    </row>
    <row r="32" spans="1:11">
      <c r="A32" s="207" t="s">
        <v>32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431582</v>
      </c>
      <c r="K32" s="124">
        <f>370686+24075000+60896</f>
        <v>24506582</v>
      </c>
    </row>
    <row r="33" spans="1:11">
      <c r="A33" s="207" t="s">
        <v>33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124"/>
    </row>
    <row r="34" spans="1:11">
      <c r="A34" s="207" t="s">
        <v>34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124"/>
    </row>
    <row r="35" spans="1:11">
      <c r="A35" s="210" t="s">
        <v>37</v>
      </c>
      <c r="B35" s="211"/>
      <c r="C35" s="211"/>
      <c r="D35" s="211"/>
      <c r="E35" s="211"/>
      <c r="F35" s="211"/>
      <c r="G35" s="211"/>
      <c r="H35" s="212"/>
      <c r="I35" s="1">
        <v>29</v>
      </c>
      <c r="J35" s="118">
        <f>SUM(J36:J38)</f>
        <v>0</v>
      </c>
      <c r="K35" s="118">
        <f>SUM(K36:K38)</f>
        <v>0</v>
      </c>
    </row>
    <row r="36" spans="1:11">
      <c r="A36" s="207" t="s">
        <v>36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>
      <c r="A37" s="207" t="s">
        <v>35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/>
    </row>
    <row r="38" spans="1:11">
      <c r="A38" s="207" t="s">
        <v>38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/>
    </row>
    <row r="39" spans="1:11">
      <c r="A39" s="210" t="s">
        <v>39</v>
      </c>
      <c r="B39" s="211"/>
      <c r="C39" s="211"/>
      <c r="D39" s="211"/>
      <c r="E39" s="211"/>
      <c r="F39" s="211"/>
      <c r="G39" s="211"/>
      <c r="H39" s="212"/>
      <c r="I39" s="1">
        <v>33</v>
      </c>
      <c r="J39" s="119">
        <v>666451</v>
      </c>
      <c r="K39" s="125">
        <v>666451</v>
      </c>
    </row>
    <row r="40" spans="1:11">
      <c r="A40" s="210" t="s">
        <v>261</v>
      </c>
      <c r="B40" s="211"/>
      <c r="C40" s="211"/>
      <c r="D40" s="211"/>
      <c r="E40" s="211"/>
      <c r="F40" s="211"/>
      <c r="G40" s="211"/>
      <c r="H40" s="212"/>
      <c r="I40" s="1">
        <v>34</v>
      </c>
      <c r="J40" s="118">
        <f>J41+J49+J56+J64</f>
        <v>293731842</v>
      </c>
      <c r="K40" s="118">
        <f>K41+K49+K56+K64</f>
        <v>231826284</v>
      </c>
    </row>
    <row r="41" spans="1:11">
      <c r="A41" s="210" t="s">
        <v>44</v>
      </c>
      <c r="B41" s="211"/>
      <c r="C41" s="211"/>
      <c r="D41" s="211"/>
      <c r="E41" s="211"/>
      <c r="F41" s="211"/>
      <c r="G41" s="211"/>
      <c r="H41" s="212"/>
      <c r="I41" s="1">
        <v>35</v>
      </c>
      <c r="J41" s="118">
        <f>SUM(J42:J48)</f>
        <v>37165157</v>
      </c>
      <c r="K41" s="118">
        <f>SUM(K42:K48)</f>
        <v>31543460</v>
      </c>
    </row>
    <row r="42" spans="1:11">
      <c r="A42" s="207" t="s">
        <v>40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27539443</v>
      </c>
      <c r="K42" s="124">
        <f>4263665+18179502</f>
        <v>22443167</v>
      </c>
    </row>
    <row r="43" spans="1:11">
      <c r="A43" s="207" t="s">
        <v>41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>
        <v>2430497</v>
      </c>
      <c r="K43" s="124">
        <v>2257935</v>
      </c>
    </row>
    <row r="44" spans="1:11">
      <c r="A44" s="207" t="s">
        <v>42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7183788</v>
      </c>
      <c r="K44" s="124">
        <v>6731963</v>
      </c>
    </row>
    <row r="45" spans="1:11">
      <c r="A45" s="207" t="s">
        <v>43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11429</v>
      </c>
      <c r="K45" s="124">
        <v>110395</v>
      </c>
    </row>
    <row r="46" spans="1:11">
      <c r="A46" s="207" t="s">
        <v>45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/>
      <c r="K46" s="124"/>
    </row>
    <row r="47" spans="1:11">
      <c r="A47" s="207" t="s">
        <v>46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124"/>
    </row>
    <row r="48" spans="1:11">
      <c r="A48" s="207" t="s">
        <v>47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124"/>
    </row>
    <row r="49" spans="1:11">
      <c r="A49" s="210" t="s">
        <v>48</v>
      </c>
      <c r="B49" s="211"/>
      <c r="C49" s="211"/>
      <c r="D49" s="211"/>
      <c r="E49" s="211"/>
      <c r="F49" s="211"/>
      <c r="G49" s="211"/>
      <c r="H49" s="212"/>
      <c r="I49" s="1">
        <v>43</v>
      </c>
      <c r="J49" s="118">
        <f>SUM(J50:J55)</f>
        <v>186794445</v>
      </c>
      <c r="K49" s="118">
        <f>SUM(K50:K55)</f>
        <v>148078062</v>
      </c>
    </row>
    <row r="50" spans="1:11">
      <c r="A50" s="207" t="s">
        <v>49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>
        <v>80475302</v>
      </c>
      <c r="K50" s="124">
        <f>31370838+10846828+3565906</f>
        <v>45783572</v>
      </c>
    </row>
    <row r="51" spans="1:11">
      <c r="A51" s="207" t="s">
        <v>50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63662324</v>
      </c>
      <c r="K51" s="124">
        <f>89577179-K50-K52+N57</f>
        <v>27220757</v>
      </c>
    </row>
    <row r="52" spans="1:11">
      <c r="A52" s="207" t="s">
        <v>51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>
        <v>5244952</v>
      </c>
      <c r="K52" s="124">
        <f>5096803+3423501+8052546</f>
        <v>16572850</v>
      </c>
    </row>
    <row r="53" spans="1:11">
      <c r="A53" s="207" t="s">
        <v>52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929439</v>
      </c>
      <c r="K53" s="124">
        <f>42316+972474+652187+662040</f>
        <v>2329017</v>
      </c>
    </row>
    <row r="54" spans="1:11">
      <c r="A54" s="207" t="s">
        <v>53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15433186</v>
      </c>
      <c r="K54" s="124">
        <f>15467272-K53</f>
        <v>13138255</v>
      </c>
    </row>
    <row r="55" spans="1:11">
      <c r="A55" s="207" t="s">
        <v>54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21049242</v>
      </c>
      <c r="K55" s="124">
        <f>23702525+19331086-N57</f>
        <v>43033611</v>
      </c>
    </row>
    <row r="56" spans="1:11">
      <c r="A56" s="210" t="s">
        <v>62</v>
      </c>
      <c r="B56" s="211"/>
      <c r="C56" s="211"/>
      <c r="D56" s="211"/>
      <c r="E56" s="211"/>
      <c r="F56" s="211"/>
      <c r="G56" s="211"/>
      <c r="H56" s="212"/>
      <c r="I56" s="1">
        <v>50</v>
      </c>
      <c r="J56" s="118">
        <f>SUM(J57:J63)</f>
        <v>66543367</v>
      </c>
      <c r="K56" s="118">
        <f>SUM(K57:K63)</f>
        <v>47087467</v>
      </c>
    </row>
    <row r="57" spans="1:11">
      <c r="A57" s="207" t="s">
        <v>27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124"/>
    </row>
    <row r="58" spans="1:11">
      <c r="A58" s="207" t="s">
        <v>55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/>
      <c r="K58" s="124"/>
    </row>
    <row r="59" spans="1:11">
      <c r="A59" s="207" t="s">
        <v>29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124"/>
    </row>
    <row r="60" spans="1:11">
      <c r="A60" s="207" t="s">
        <v>28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124"/>
    </row>
    <row r="61" spans="1:11">
      <c r="A61" s="207" t="s">
        <v>56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/>
      <c r="K61" s="124"/>
    </row>
    <row r="62" spans="1:11">
      <c r="A62" s="207" t="s">
        <v>32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66543367</v>
      </c>
      <c r="K62" s="124">
        <v>47087467</v>
      </c>
    </row>
    <row r="63" spans="1:11">
      <c r="A63" s="207" t="s">
        <v>57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/>
      <c r="K63" s="124"/>
    </row>
    <row r="64" spans="1:11">
      <c r="A64" s="210" t="s">
        <v>58</v>
      </c>
      <c r="B64" s="211"/>
      <c r="C64" s="211"/>
      <c r="D64" s="211"/>
      <c r="E64" s="211"/>
      <c r="F64" s="211"/>
      <c r="G64" s="211"/>
      <c r="H64" s="212"/>
      <c r="I64" s="1">
        <v>58</v>
      </c>
      <c r="J64" s="119">
        <v>3228873</v>
      </c>
      <c r="K64" s="125">
        <v>5117295</v>
      </c>
    </row>
    <row r="65" spans="1:11">
      <c r="A65" s="210" t="s">
        <v>59</v>
      </c>
      <c r="B65" s="211"/>
      <c r="C65" s="211"/>
      <c r="D65" s="211"/>
      <c r="E65" s="211"/>
      <c r="F65" s="211"/>
      <c r="G65" s="211"/>
      <c r="H65" s="212"/>
      <c r="I65" s="1">
        <v>59</v>
      </c>
      <c r="J65" s="119">
        <v>75527413</v>
      </c>
      <c r="K65" s="125">
        <v>99603857</v>
      </c>
    </row>
    <row r="66" spans="1:11">
      <c r="A66" s="210" t="s">
        <v>262</v>
      </c>
      <c r="B66" s="211"/>
      <c r="C66" s="211"/>
      <c r="D66" s="211"/>
      <c r="E66" s="211"/>
      <c r="F66" s="211"/>
      <c r="G66" s="211"/>
      <c r="H66" s="212"/>
      <c r="I66" s="1">
        <v>60</v>
      </c>
      <c r="J66" s="118">
        <f>J7+J8+J40+J65</f>
        <v>1052653138</v>
      </c>
      <c r="K66" s="118">
        <f>K7+K8+K40+K65</f>
        <v>1054498057</v>
      </c>
    </row>
    <row r="67" spans="1:11">
      <c r="A67" s="220" t="s">
        <v>60</v>
      </c>
      <c r="B67" s="221"/>
      <c r="C67" s="221"/>
      <c r="D67" s="221"/>
      <c r="E67" s="221"/>
      <c r="F67" s="221"/>
      <c r="G67" s="221"/>
      <c r="H67" s="222"/>
      <c r="I67" s="4">
        <v>61</v>
      </c>
      <c r="J67" s="120">
        <v>7149642</v>
      </c>
      <c r="K67" s="126">
        <f>671823+3920719</f>
        <v>4592542</v>
      </c>
    </row>
    <row r="68" spans="1:11">
      <c r="A68" s="223" t="s">
        <v>63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>
      <c r="A69" s="217" t="s">
        <v>263</v>
      </c>
      <c r="B69" s="218"/>
      <c r="C69" s="218"/>
      <c r="D69" s="218"/>
      <c r="E69" s="218"/>
      <c r="F69" s="218"/>
      <c r="G69" s="218"/>
      <c r="H69" s="219"/>
      <c r="I69" s="3">
        <v>62</v>
      </c>
      <c r="J69" s="121">
        <f>J70+J71+J72+J78+J79+J82+J85</f>
        <v>648297174</v>
      </c>
      <c r="K69" s="121">
        <f>K70+K71+K72+K78+K79+K82+K85</f>
        <v>675157578</v>
      </c>
    </row>
    <row r="70" spans="1:11">
      <c r="A70" s="210" t="s">
        <v>64</v>
      </c>
      <c r="B70" s="211"/>
      <c r="C70" s="211"/>
      <c r="D70" s="211"/>
      <c r="E70" s="211"/>
      <c r="F70" s="211"/>
      <c r="G70" s="211"/>
      <c r="H70" s="212"/>
      <c r="I70" s="1">
        <v>63</v>
      </c>
      <c r="J70" s="119">
        <v>419958400</v>
      </c>
      <c r="K70" s="125">
        <v>419958400</v>
      </c>
    </row>
    <row r="71" spans="1:11">
      <c r="A71" s="210" t="s">
        <v>65</v>
      </c>
      <c r="B71" s="211"/>
      <c r="C71" s="211"/>
      <c r="D71" s="211"/>
      <c r="E71" s="211"/>
      <c r="F71" s="211"/>
      <c r="G71" s="211"/>
      <c r="H71" s="212"/>
      <c r="I71" s="1">
        <v>64</v>
      </c>
      <c r="J71" s="119">
        <v>181239161</v>
      </c>
      <c r="K71" s="125">
        <v>183075797</v>
      </c>
    </row>
    <row r="72" spans="1:11">
      <c r="A72" s="210" t="s">
        <v>66</v>
      </c>
      <c r="B72" s="211"/>
      <c r="C72" s="211"/>
      <c r="D72" s="211"/>
      <c r="E72" s="211"/>
      <c r="F72" s="211"/>
      <c r="G72" s="211"/>
      <c r="H72" s="212"/>
      <c r="I72" s="1">
        <v>65</v>
      </c>
      <c r="J72" s="118">
        <f>J73+J74-J75+J76+J77</f>
        <v>16171699</v>
      </c>
      <c r="K72" s="118">
        <f>K73+K74-K75+K76+K77</f>
        <v>15502305</v>
      </c>
    </row>
    <row r="73" spans="1:11">
      <c r="A73" s="207" t="s">
        <v>67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6128852</v>
      </c>
      <c r="K73" s="124">
        <v>6128852</v>
      </c>
    </row>
    <row r="74" spans="1:11">
      <c r="A74" s="207" t="s">
        <v>68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>
        <v>11359719</v>
      </c>
      <c r="K74" s="124">
        <v>452753</v>
      </c>
    </row>
    <row r="75" spans="1:11">
      <c r="A75" s="207" t="s">
        <v>69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>
        <v>11359719</v>
      </c>
      <c r="K75" s="124">
        <v>452753</v>
      </c>
    </row>
    <row r="76" spans="1:11">
      <c r="A76" s="207" t="s">
        <v>70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124"/>
    </row>
    <row r="77" spans="1:11">
      <c r="A77" s="207" t="s">
        <v>71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10042847</v>
      </c>
      <c r="K77" s="124">
        <v>9373453</v>
      </c>
    </row>
    <row r="78" spans="1:11">
      <c r="A78" s="210" t="s">
        <v>72</v>
      </c>
      <c r="B78" s="211"/>
      <c r="C78" s="211"/>
      <c r="D78" s="211"/>
      <c r="E78" s="211"/>
      <c r="F78" s="211"/>
      <c r="G78" s="211"/>
      <c r="H78" s="212"/>
      <c r="I78" s="1">
        <v>71</v>
      </c>
      <c r="J78" s="119">
        <v>10185353</v>
      </c>
      <c r="K78" s="125">
        <f>8489504+2640+1066831+626378</f>
        <v>10185353</v>
      </c>
    </row>
    <row r="79" spans="1:11">
      <c r="A79" s="210" t="s">
        <v>73</v>
      </c>
      <c r="B79" s="211"/>
      <c r="C79" s="211"/>
      <c r="D79" s="211"/>
      <c r="E79" s="211"/>
      <c r="F79" s="211"/>
      <c r="G79" s="211"/>
      <c r="H79" s="212"/>
      <c r="I79" s="1">
        <v>72</v>
      </c>
      <c r="J79" s="118">
        <f>J80-J81</f>
        <v>0</v>
      </c>
      <c r="K79" s="118">
        <f>K80-K81</f>
        <v>0</v>
      </c>
    </row>
    <row r="80" spans="1:11">
      <c r="A80" s="226" t="s">
        <v>74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/>
      <c r="K80" s="7"/>
    </row>
    <row r="81" spans="1:11">
      <c r="A81" s="226" t="s">
        <v>75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/>
      <c r="K81" s="7"/>
    </row>
    <row r="82" spans="1:11">
      <c r="A82" s="210" t="s">
        <v>76</v>
      </c>
      <c r="B82" s="211"/>
      <c r="C82" s="211"/>
      <c r="D82" s="211"/>
      <c r="E82" s="211"/>
      <c r="F82" s="211"/>
      <c r="G82" s="211"/>
      <c r="H82" s="212"/>
      <c r="I82" s="1">
        <v>75</v>
      </c>
      <c r="J82" s="118">
        <f>J83-J84</f>
        <v>20742561</v>
      </c>
      <c r="K82" s="118">
        <f>K83-K84</f>
        <v>46435723</v>
      </c>
    </row>
    <row r="83" spans="1:11">
      <c r="A83" s="226" t="s">
        <v>77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20742561</v>
      </c>
      <c r="K83" s="124">
        <f>51772083-3336360-2000000</f>
        <v>46435723</v>
      </c>
    </row>
    <row r="84" spans="1:11">
      <c r="A84" s="226" t="s">
        <v>78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/>
      <c r="K84" s="7"/>
    </row>
    <row r="85" spans="1:11">
      <c r="A85" s="210" t="s">
        <v>79</v>
      </c>
      <c r="B85" s="211"/>
      <c r="C85" s="211"/>
      <c r="D85" s="211"/>
      <c r="E85" s="211"/>
      <c r="F85" s="211"/>
      <c r="G85" s="211"/>
      <c r="H85" s="212"/>
      <c r="I85" s="1">
        <v>78</v>
      </c>
      <c r="J85" s="119"/>
      <c r="K85" s="119"/>
    </row>
    <row r="86" spans="1:11">
      <c r="A86" s="210" t="s">
        <v>264</v>
      </c>
      <c r="B86" s="211"/>
      <c r="C86" s="211"/>
      <c r="D86" s="211"/>
      <c r="E86" s="211"/>
      <c r="F86" s="211"/>
      <c r="G86" s="211"/>
      <c r="H86" s="212"/>
      <c r="I86" s="1">
        <v>79</v>
      </c>
      <c r="J86" s="118">
        <f>SUM(J87:J89)</f>
        <v>10225567</v>
      </c>
      <c r="K86" s="118">
        <f>SUM(K87:K89)</f>
        <v>10225568</v>
      </c>
    </row>
    <row r="87" spans="1:11">
      <c r="A87" s="207" t="s">
        <v>80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>
        <v>3332255</v>
      </c>
      <c r="K87" s="124">
        <v>3332256</v>
      </c>
    </row>
    <row r="88" spans="1:11">
      <c r="A88" s="207" t="s">
        <v>81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124"/>
    </row>
    <row r="89" spans="1:11">
      <c r="A89" s="207" t="s">
        <v>82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>
        <v>6893312</v>
      </c>
      <c r="K89" s="124">
        <f>3163208+3730104</f>
        <v>6893312</v>
      </c>
    </row>
    <row r="90" spans="1:11">
      <c r="A90" s="210" t="s">
        <v>265</v>
      </c>
      <c r="B90" s="211"/>
      <c r="C90" s="211"/>
      <c r="D90" s="211"/>
      <c r="E90" s="211"/>
      <c r="F90" s="211"/>
      <c r="G90" s="211"/>
      <c r="H90" s="212"/>
      <c r="I90" s="1">
        <v>83</v>
      </c>
      <c r="J90" s="118">
        <f>SUM(J91:J99)</f>
        <v>92830764</v>
      </c>
      <c r="K90" s="118">
        <f>SUM(K91:K99)</f>
        <v>91678685</v>
      </c>
    </row>
    <row r="91" spans="1:11">
      <c r="A91" s="207" t="s">
        <v>83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>
      <c r="A92" s="207" t="s">
        <v>84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/>
      <c r="K92" s="7"/>
    </row>
    <row r="93" spans="1:11">
      <c r="A93" s="207" t="s">
        <v>85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92830764</v>
      </c>
      <c r="K93" s="124">
        <v>91678685</v>
      </c>
    </row>
    <row r="94" spans="1:11">
      <c r="A94" s="207" t="s">
        <v>86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>
      <c r="A95" s="207" t="s">
        <v>87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>
      <c r="A96" s="207" t="s">
        <v>88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>
      <c r="A97" s="207" t="s">
        <v>89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>
      <c r="A98" s="207" t="s">
        <v>90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/>
    </row>
    <row r="99" spans="1:11">
      <c r="A99" s="207" t="s">
        <v>91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/>
      <c r="K99" s="7"/>
    </row>
    <row r="100" spans="1:11">
      <c r="A100" s="210" t="s">
        <v>266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118">
        <f>SUM(J101:J112)</f>
        <v>299594297</v>
      </c>
      <c r="K100" s="118">
        <f>SUM(K101:K112)</f>
        <v>265505692</v>
      </c>
    </row>
    <row r="101" spans="1:11" ht="12.75" customHeight="1">
      <c r="A101" s="207" t="s">
        <v>83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>
        <v>37269825</v>
      </c>
      <c r="K101" s="124">
        <f>2054+289275+520072+34871797+4250+2979852</f>
        <v>38667300</v>
      </c>
    </row>
    <row r="102" spans="1:11" ht="12.75" customHeight="1">
      <c r="A102" s="207" t="s">
        <v>84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/>
      <c r="K102" s="124"/>
    </row>
    <row r="103" spans="1:11" ht="12.75" customHeight="1">
      <c r="A103" s="207" t="s">
        <v>85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106256933</v>
      </c>
      <c r="K103" s="124">
        <v>65842882</v>
      </c>
    </row>
    <row r="104" spans="1:11" ht="12.75" customHeight="1">
      <c r="A104" s="207" t="s">
        <v>86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80140898</v>
      </c>
      <c r="K104" s="124">
        <f>93014593-289275-2979852</f>
        <v>89745466</v>
      </c>
    </row>
    <row r="105" spans="1:11" ht="12.75" customHeight="1">
      <c r="A105" s="207" t="s">
        <v>87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66312190</v>
      </c>
      <c r="K105" s="124">
        <f>35730875-2054-4250-199-1389310+18179502-1957+2000000</f>
        <v>54512607</v>
      </c>
    </row>
    <row r="106" spans="1:11" ht="12.75" customHeight="1">
      <c r="A106" s="207" t="s">
        <v>88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124"/>
    </row>
    <row r="107" spans="1:11" ht="12.75" customHeight="1">
      <c r="A107" s="207" t="s">
        <v>89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>
        <v>199</v>
      </c>
      <c r="K107" s="124">
        <v>199</v>
      </c>
    </row>
    <row r="108" spans="1:11">
      <c r="A108" s="207" t="s">
        <v>92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5226092</v>
      </c>
      <c r="K108" s="124">
        <f>237152+1418+295470-2000+76986-75486+8900+2080+4456340+106482</f>
        <v>5107342</v>
      </c>
    </row>
    <row r="109" spans="1:11">
      <c r="A109" s="207" t="s">
        <v>93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4388160</v>
      </c>
      <c r="K109" s="124">
        <f>9367562+7369676-K108-K110</f>
        <v>10203364</v>
      </c>
    </row>
    <row r="110" spans="1:11">
      <c r="A110" s="207" t="s">
        <v>94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/>
      <c r="K110" s="124">
        <v>1426532</v>
      </c>
    </row>
    <row r="111" spans="1:11">
      <c r="A111" s="207" t="s">
        <v>95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124"/>
    </row>
    <row r="112" spans="1:11">
      <c r="A112" s="207" t="s">
        <v>96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/>
      <c r="K112" s="124"/>
    </row>
    <row r="113" spans="1:11">
      <c r="A113" s="210" t="s">
        <v>97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119">
        <v>1705336</v>
      </c>
      <c r="K113" s="125">
        <f>18823846-K89</f>
        <v>11930534</v>
      </c>
    </row>
    <row r="114" spans="1:11">
      <c r="A114" s="210" t="s">
        <v>267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118">
        <f>J69+J86+J90+J100+J113</f>
        <v>1052653138</v>
      </c>
      <c r="K114" s="118">
        <f>K69+K86+K90+K100+K113</f>
        <v>1054498057</v>
      </c>
    </row>
    <row r="115" spans="1:11">
      <c r="A115" s="231" t="s">
        <v>98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120">
        <f>+J67</f>
        <v>7149642</v>
      </c>
      <c r="K115" s="120">
        <f>+K67</f>
        <v>4592542</v>
      </c>
    </row>
    <row r="116" spans="1:11">
      <c r="A116" s="223" t="s">
        <v>99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>
      <c r="A117" s="217" t="s">
        <v>100</v>
      </c>
      <c r="B117" s="218"/>
      <c r="C117" s="218"/>
      <c r="D117" s="218"/>
      <c r="E117" s="218"/>
      <c r="F117" s="218"/>
      <c r="G117" s="218"/>
      <c r="H117" s="218"/>
      <c r="I117" s="237"/>
      <c r="J117" s="237"/>
      <c r="K117" s="238"/>
    </row>
    <row r="118" spans="1:11">
      <c r="A118" s="207" t="s">
        <v>101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/>
      <c r="K118" s="7"/>
    </row>
    <row r="119" spans="1:11">
      <c r="A119" s="239" t="s">
        <v>102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8"/>
      <c r="K119" s="8"/>
    </row>
    <row r="120" spans="1:11" ht="39" customHeight="1">
      <c r="A120" s="242" t="s">
        <v>103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Normal="100" workbookViewId="0">
      <selection activeCell="P53" sqref="P53"/>
    </sheetView>
  </sheetViews>
  <sheetFormatPr defaultRowHeight="12.75"/>
  <cols>
    <col min="1" max="9" width="9.140625" style="47"/>
    <col min="10" max="13" width="12.7109375" style="47" customWidth="1"/>
    <col min="14" max="16384" width="9.140625" style="47"/>
  </cols>
  <sheetData>
    <row r="1" spans="1:13" ht="12.75" customHeight="1">
      <c r="A1" s="199" t="s">
        <v>104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2.75" customHeight="1">
      <c r="A2" s="250" t="s">
        <v>298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6" t="s">
        <v>299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4">
      <c r="A4" s="245" t="s">
        <v>5</v>
      </c>
      <c r="B4" s="245"/>
      <c r="C4" s="245"/>
      <c r="D4" s="245"/>
      <c r="E4" s="245"/>
      <c r="F4" s="245"/>
      <c r="G4" s="245"/>
      <c r="H4" s="245"/>
      <c r="I4" s="52" t="s">
        <v>6</v>
      </c>
      <c r="J4" s="244" t="s">
        <v>7</v>
      </c>
      <c r="K4" s="244"/>
      <c r="L4" s="244" t="s">
        <v>8</v>
      </c>
      <c r="M4" s="244"/>
    </row>
    <row r="5" spans="1:13">
      <c r="A5" s="245"/>
      <c r="B5" s="245"/>
      <c r="C5" s="245"/>
      <c r="D5" s="245"/>
      <c r="E5" s="245"/>
      <c r="F5" s="245"/>
      <c r="G5" s="245"/>
      <c r="H5" s="245"/>
      <c r="I5" s="52"/>
      <c r="J5" s="54" t="s">
        <v>105</v>
      </c>
      <c r="K5" s="54" t="s">
        <v>106</v>
      </c>
      <c r="L5" s="54" t="s">
        <v>105</v>
      </c>
      <c r="M5" s="54" t="s">
        <v>106</v>
      </c>
    </row>
    <row r="6" spans="1:13">
      <c r="A6" s="244">
        <v>1</v>
      </c>
      <c r="B6" s="244"/>
      <c r="C6" s="244"/>
      <c r="D6" s="244"/>
      <c r="E6" s="244"/>
      <c r="F6" s="244"/>
      <c r="G6" s="244"/>
      <c r="H6" s="244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>
      <c r="A7" s="217" t="s">
        <v>268</v>
      </c>
      <c r="B7" s="218"/>
      <c r="C7" s="218"/>
      <c r="D7" s="218"/>
      <c r="E7" s="218"/>
      <c r="F7" s="218"/>
      <c r="G7" s="218"/>
      <c r="H7" s="219"/>
      <c r="I7" s="3">
        <v>111</v>
      </c>
      <c r="J7" s="121">
        <f>SUM(J8:J9)</f>
        <v>403634656</v>
      </c>
      <c r="K7" s="121">
        <f>SUM(K8:K9)</f>
        <v>111527515</v>
      </c>
      <c r="L7" s="121">
        <f>SUM(L8:L9)</f>
        <v>412263813</v>
      </c>
      <c r="M7" s="121">
        <f>SUM(M8:M9)</f>
        <v>117398693</v>
      </c>
    </row>
    <row r="8" spans="1:13">
      <c r="A8" s="207" t="s">
        <v>107</v>
      </c>
      <c r="B8" s="208"/>
      <c r="C8" s="208"/>
      <c r="D8" s="208"/>
      <c r="E8" s="208"/>
      <c r="F8" s="208"/>
      <c r="G8" s="208"/>
      <c r="H8" s="209"/>
      <c r="I8" s="1">
        <v>112</v>
      </c>
      <c r="J8" s="127">
        <v>399242055</v>
      </c>
      <c r="K8" s="128">
        <v>110292107</v>
      </c>
      <c r="L8" s="124">
        <f>408317131+896248-L9+3050434</f>
        <v>408211229</v>
      </c>
      <c r="M8" s="7">
        <v>115302998</v>
      </c>
    </row>
    <row r="9" spans="1:13">
      <c r="A9" s="207" t="s">
        <v>108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4392601</v>
      </c>
      <c r="K9" s="7">
        <v>1235408</v>
      </c>
      <c r="L9" s="124">
        <f>53685+681155+100437+58337+108536+3050434</f>
        <v>4052584</v>
      </c>
      <c r="M9" s="7">
        <v>2095695</v>
      </c>
    </row>
    <row r="10" spans="1:13">
      <c r="A10" s="210" t="s">
        <v>269</v>
      </c>
      <c r="B10" s="211"/>
      <c r="C10" s="211"/>
      <c r="D10" s="211"/>
      <c r="E10" s="211"/>
      <c r="F10" s="211"/>
      <c r="G10" s="211"/>
      <c r="H10" s="212"/>
      <c r="I10" s="1">
        <v>114</v>
      </c>
      <c r="J10" s="118">
        <f>J11+J12+J16+J20+J21+J22+J25+J26</f>
        <v>385449132</v>
      </c>
      <c r="K10" s="118">
        <f>K11+K12+K16+K20+K21+K22+K25+K26</f>
        <v>111509293</v>
      </c>
      <c r="L10" s="118">
        <f>L11+L12+L16+L20+L21+L22+L25+L26</f>
        <v>391128607</v>
      </c>
      <c r="M10" s="118">
        <f>M11+M12+M16+M20+M21+M22+M25+M26</f>
        <v>120390062</v>
      </c>
    </row>
    <row r="11" spans="1:13">
      <c r="A11" s="207" t="s">
        <v>109</v>
      </c>
      <c r="B11" s="208"/>
      <c r="C11" s="208"/>
      <c r="D11" s="208"/>
      <c r="E11" s="208"/>
      <c r="F11" s="208"/>
      <c r="G11" s="208"/>
      <c r="H11" s="209"/>
      <c r="I11" s="1">
        <v>115</v>
      </c>
      <c r="J11" s="127">
        <v>-636449</v>
      </c>
      <c r="K11" s="128">
        <v>-537041</v>
      </c>
      <c r="L11" s="124">
        <f>365489207-364920992</f>
        <v>568215</v>
      </c>
      <c r="M11" s="7">
        <v>94436</v>
      </c>
    </row>
    <row r="12" spans="1:13">
      <c r="A12" s="210" t="s">
        <v>270</v>
      </c>
      <c r="B12" s="211"/>
      <c r="C12" s="211"/>
      <c r="D12" s="211"/>
      <c r="E12" s="211"/>
      <c r="F12" s="211"/>
      <c r="G12" s="211"/>
      <c r="H12" s="212"/>
      <c r="I12" s="1">
        <v>116</v>
      </c>
      <c r="J12" s="118">
        <f>SUM(J13:J15)</f>
        <v>258161407</v>
      </c>
      <c r="K12" s="118">
        <f>SUM(K13:K15)</f>
        <v>68450556</v>
      </c>
      <c r="L12" s="118">
        <f>SUM(L13:L15)</f>
        <v>241852486</v>
      </c>
      <c r="M12" s="118">
        <f>SUM(M13:M15)</f>
        <v>63560037</v>
      </c>
    </row>
    <row r="13" spans="1:13">
      <c r="A13" s="207" t="s">
        <v>110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204666540</v>
      </c>
      <c r="K13" s="7">
        <v>58062434</v>
      </c>
      <c r="L13" s="124">
        <v>191737069</v>
      </c>
      <c r="M13" s="7">
        <v>53914105</v>
      </c>
    </row>
    <row r="14" spans="1:13">
      <c r="A14" s="207" t="s">
        <v>111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20671561</v>
      </c>
      <c r="K14" s="7">
        <v>3267360</v>
      </c>
      <c r="L14" s="124">
        <v>19365669</v>
      </c>
      <c r="M14" s="7">
        <v>3033920</v>
      </c>
    </row>
    <row r="15" spans="1:13">
      <c r="A15" s="207" t="s">
        <v>112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32823306</v>
      </c>
      <c r="K15" s="7">
        <v>7120762</v>
      </c>
      <c r="L15" s="124">
        <f>28749748+2000000</f>
        <v>30749748</v>
      </c>
      <c r="M15" s="7">
        <v>6612012</v>
      </c>
    </row>
    <row r="16" spans="1:13">
      <c r="A16" s="210" t="s">
        <v>271</v>
      </c>
      <c r="B16" s="211"/>
      <c r="C16" s="211"/>
      <c r="D16" s="211"/>
      <c r="E16" s="211"/>
      <c r="F16" s="211"/>
      <c r="G16" s="211"/>
      <c r="H16" s="212"/>
      <c r="I16" s="1">
        <v>120</v>
      </c>
      <c r="J16" s="118">
        <f>SUM(J17:J19)</f>
        <v>70987496</v>
      </c>
      <c r="K16" s="118">
        <f>SUM(K17:K19)</f>
        <v>23162281</v>
      </c>
      <c r="L16" s="118">
        <f>SUM(L17:L19)</f>
        <v>67395951</v>
      </c>
      <c r="M16" s="118">
        <f>SUM(M17:M19)</f>
        <v>22897923</v>
      </c>
    </row>
    <row r="17" spans="1:13">
      <c r="A17" s="207" t="s">
        <v>113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42592497</v>
      </c>
      <c r="K17" s="7">
        <v>13897367</v>
      </c>
      <c r="L17" s="129">
        <v>40437570</v>
      </c>
      <c r="M17" s="7">
        <v>13738753</v>
      </c>
    </row>
    <row r="18" spans="1:13">
      <c r="A18" s="207" t="s">
        <v>114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17746874</v>
      </c>
      <c r="K18" s="7">
        <v>5790571</v>
      </c>
      <c r="L18" s="129">
        <v>16848988</v>
      </c>
      <c r="M18" s="7">
        <v>5724481</v>
      </c>
    </row>
    <row r="19" spans="1:13">
      <c r="A19" s="207" t="s">
        <v>115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10648125</v>
      </c>
      <c r="K19" s="7">
        <v>3474343</v>
      </c>
      <c r="L19" s="129">
        <v>10109393</v>
      </c>
      <c r="M19" s="7">
        <v>3434689</v>
      </c>
    </row>
    <row r="20" spans="1:13">
      <c r="A20" s="207" t="s">
        <v>116</v>
      </c>
      <c r="B20" s="208"/>
      <c r="C20" s="208"/>
      <c r="D20" s="208"/>
      <c r="E20" s="208"/>
      <c r="F20" s="208"/>
      <c r="G20" s="208"/>
      <c r="H20" s="209"/>
      <c r="I20" s="1">
        <v>124</v>
      </c>
      <c r="J20" s="127">
        <v>31541051</v>
      </c>
      <c r="K20" s="128">
        <v>10636443</v>
      </c>
      <c r="L20" s="124">
        <v>29558874</v>
      </c>
      <c r="M20" s="7">
        <v>9852747</v>
      </c>
    </row>
    <row r="21" spans="1:13">
      <c r="A21" s="207" t="s">
        <v>117</v>
      </c>
      <c r="B21" s="208"/>
      <c r="C21" s="208"/>
      <c r="D21" s="208"/>
      <c r="E21" s="208"/>
      <c r="F21" s="208"/>
      <c r="G21" s="208"/>
      <c r="H21" s="209"/>
      <c r="I21" s="1">
        <v>125</v>
      </c>
      <c r="J21" s="127">
        <v>24170146</v>
      </c>
      <c r="K21" s="128">
        <v>8761782</v>
      </c>
      <c r="L21" s="124">
        <f>46804026+675324+2713737</f>
        <v>50193087</v>
      </c>
      <c r="M21" s="7">
        <v>23980994</v>
      </c>
    </row>
    <row r="22" spans="1:13">
      <c r="A22" s="210" t="s">
        <v>272</v>
      </c>
      <c r="B22" s="211"/>
      <c r="C22" s="211"/>
      <c r="D22" s="211"/>
      <c r="E22" s="211"/>
      <c r="F22" s="211"/>
      <c r="G22" s="211"/>
      <c r="H22" s="212"/>
      <c r="I22" s="1">
        <v>126</v>
      </c>
      <c r="J22" s="118">
        <f>SUM(J23:J24)</f>
        <v>0</v>
      </c>
      <c r="K22" s="118">
        <f>SUM(K23:K24)</f>
        <v>0</v>
      </c>
      <c r="L22" s="118">
        <f>SUM(L23:L24)</f>
        <v>0</v>
      </c>
      <c r="M22" s="118">
        <f>SUM(M23:M24)</f>
        <v>0</v>
      </c>
    </row>
    <row r="23" spans="1:13">
      <c r="A23" s="207" t="s">
        <v>118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>
      <c r="A24" s="207" t="s">
        <v>119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/>
      <c r="K24" s="7"/>
      <c r="L24" s="7"/>
      <c r="M24" s="7"/>
    </row>
    <row r="25" spans="1:13">
      <c r="A25" s="207" t="s">
        <v>120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>
      <c r="A26" s="207" t="s">
        <v>121</v>
      </c>
      <c r="B26" s="208"/>
      <c r="C26" s="208"/>
      <c r="D26" s="208"/>
      <c r="E26" s="208"/>
      <c r="F26" s="208"/>
      <c r="G26" s="208"/>
      <c r="H26" s="209"/>
      <c r="I26" s="1">
        <v>130</v>
      </c>
      <c r="J26" s="127">
        <v>1225481</v>
      </c>
      <c r="K26" s="128">
        <v>1035272</v>
      </c>
      <c r="L26" s="124">
        <f>4273731-2713737</f>
        <v>1559994</v>
      </c>
      <c r="M26" s="7">
        <v>3925</v>
      </c>
    </row>
    <row r="27" spans="1:13">
      <c r="A27" s="210" t="s">
        <v>273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118">
        <f>SUM(J28:J32)</f>
        <v>22710052</v>
      </c>
      <c r="K27" s="118">
        <f>SUM(K28:K32)</f>
        <v>12889139</v>
      </c>
      <c r="L27" s="118">
        <f>SUM(L28:L32)</f>
        <v>53931273</v>
      </c>
      <c r="M27" s="118">
        <f>SUM(M28:M32)</f>
        <v>13604150</v>
      </c>
    </row>
    <row r="28" spans="1:13" ht="11.25" customHeight="1">
      <c r="A28" s="207" t="s">
        <v>122</v>
      </c>
      <c r="B28" s="208"/>
      <c r="C28" s="208"/>
      <c r="D28" s="208"/>
      <c r="E28" s="208"/>
      <c r="F28" s="208"/>
      <c r="G28" s="208"/>
      <c r="H28" s="209"/>
      <c r="I28" s="1">
        <v>132</v>
      </c>
      <c r="J28" s="130">
        <f>4008011+3542096</f>
        <v>7550107</v>
      </c>
      <c r="K28" s="131">
        <f>1144646+3542096</f>
        <v>4686742</v>
      </c>
      <c r="L28" s="129">
        <f>+S31+4158304+7959996</f>
        <v>12118300</v>
      </c>
      <c r="M28" s="124">
        <v>5474857</v>
      </c>
    </row>
    <row r="29" spans="1:13">
      <c r="A29" s="207" t="s">
        <v>123</v>
      </c>
      <c r="B29" s="208"/>
      <c r="C29" s="208"/>
      <c r="D29" s="208"/>
      <c r="E29" s="208"/>
      <c r="F29" s="208"/>
      <c r="G29" s="208"/>
      <c r="H29" s="209"/>
      <c r="I29" s="1">
        <v>133</v>
      </c>
      <c r="J29" s="130">
        <f>22710052-J28</f>
        <v>15159945</v>
      </c>
      <c r="K29" s="131">
        <f>12889139-K28</f>
        <v>8202397</v>
      </c>
      <c r="L29" s="129">
        <f>53931273-L28-L30</f>
        <v>25864671</v>
      </c>
      <c r="M29" s="124">
        <v>8129293</v>
      </c>
    </row>
    <row r="30" spans="1:13">
      <c r="A30" s="207" t="s">
        <v>124</v>
      </c>
      <c r="B30" s="208"/>
      <c r="C30" s="208"/>
      <c r="D30" s="208"/>
      <c r="E30" s="208"/>
      <c r="F30" s="208"/>
      <c r="G30" s="208"/>
      <c r="H30" s="209"/>
      <c r="I30" s="1">
        <v>134</v>
      </c>
      <c r="J30" s="127"/>
      <c r="K30" s="128"/>
      <c r="L30" s="129">
        <v>15948302</v>
      </c>
      <c r="M30" s="7"/>
    </row>
    <row r="31" spans="1:13">
      <c r="A31" s="207" t="s">
        <v>125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>
      <c r="A32" s="207" t="s">
        <v>126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/>
      <c r="M32" s="7"/>
    </row>
    <row r="33" spans="1:13">
      <c r="A33" s="210" t="s">
        <v>274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118">
        <f>SUM(J34:J37)</f>
        <v>22647294</v>
      </c>
      <c r="K33" s="118">
        <f>SUM(K34:K37)</f>
        <v>9935500</v>
      </c>
      <c r="L33" s="118">
        <f>SUM(L34:L37)</f>
        <v>25294396</v>
      </c>
      <c r="M33" s="118">
        <f>SUM(M34:M37)</f>
        <v>11796434</v>
      </c>
    </row>
    <row r="34" spans="1:13" ht="12.75" customHeight="1">
      <c r="A34" s="207" t="s">
        <v>122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>
        <v>2372708</v>
      </c>
      <c r="K34" s="7">
        <f>2372708-1888130</f>
        <v>484578</v>
      </c>
      <c r="L34" s="124">
        <f>520082+6304271</f>
        <v>6824353</v>
      </c>
      <c r="M34" s="7">
        <v>2709628</v>
      </c>
    </row>
    <row r="35" spans="1:13" ht="12.75" customHeight="1">
      <c r="A35" s="207" t="s">
        <v>123</v>
      </c>
      <c r="B35" s="208"/>
      <c r="C35" s="208"/>
      <c r="D35" s="208"/>
      <c r="E35" s="208"/>
      <c r="F35" s="208"/>
      <c r="G35" s="208"/>
      <c r="H35" s="209"/>
      <c r="I35" s="1">
        <v>139</v>
      </c>
      <c r="J35" s="127">
        <f>22647294-J34</f>
        <v>20274586</v>
      </c>
      <c r="K35" s="128">
        <f>9935500-K34</f>
        <v>9450922</v>
      </c>
      <c r="L35" s="124">
        <f>25294396-L34</f>
        <v>18470043</v>
      </c>
      <c r="M35" s="7">
        <v>9086806</v>
      </c>
    </row>
    <row r="36" spans="1:13">
      <c r="A36" s="207" t="s">
        <v>127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>
      <c r="A37" s="207" t="s">
        <v>128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>
      <c r="A38" s="210" t="s">
        <v>129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>
      <c r="A39" s="210" t="s">
        <v>130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>
      <c r="A40" s="210" t="s">
        <v>132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>
      <c r="A41" s="210" t="s">
        <v>131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>
      <c r="A42" s="210" t="s">
        <v>275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118">
        <f>J7+J27+J38+J40</f>
        <v>426344708</v>
      </c>
      <c r="K42" s="118">
        <f>K7+K27+K38+K40</f>
        <v>124416654</v>
      </c>
      <c r="L42" s="118">
        <f>L7+L27+L38+L40</f>
        <v>466195086</v>
      </c>
      <c r="M42" s="118">
        <f>M7+M27+M38+M40</f>
        <v>131002843</v>
      </c>
    </row>
    <row r="43" spans="1:13">
      <c r="A43" s="210" t="s">
        <v>276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118">
        <f>J10+J33+J39+J41</f>
        <v>408096426</v>
      </c>
      <c r="K43" s="118">
        <f>K10+K33+K39+K41</f>
        <v>121444793</v>
      </c>
      <c r="L43" s="118">
        <f>L10+L33+L39+L41</f>
        <v>416423003</v>
      </c>
      <c r="M43" s="118">
        <f>M10+M33+M39+M41</f>
        <v>132186496</v>
      </c>
    </row>
    <row r="44" spans="1:13">
      <c r="A44" s="210" t="s">
        <v>277</v>
      </c>
      <c r="B44" s="211"/>
      <c r="C44" s="211"/>
      <c r="D44" s="211"/>
      <c r="E44" s="211"/>
      <c r="F44" s="211"/>
      <c r="G44" s="211"/>
      <c r="H44" s="212"/>
      <c r="I44" s="1">
        <v>148</v>
      </c>
      <c r="J44" s="118">
        <f>J42-J43</f>
        <v>18248282</v>
      </c>
      <c r="K44" s="118">
        <f>K42-K43</f>
        <v>2971861</v>
      </c>
      <c r="L44" s="118">
        <f>L42-L43</f>
        <v>49772083</v>
      </c>
      <c r="M44" s="118">
        <f>M42-M43</f>
        <v>-1183653</v>
      </c>
    </row>
    <row r="45" spans="1:13">
      <c r="A45" s="226" t="s">
        <v>133</v>
      </c>
      <c r="B45" s="227"/>
      <c r="C45" s="227"/>
      <c r="D45" s="227"/>
      <c r="E45" s="227"/>
      <c r="F45" s="227"/>
      <c r="G45" s="227"/>
      <c r="H45" s="228"/>
      <c r="I45" s="1">
        <v>149</v>
      </c>
      <c r="J45" s="48">
        <f>IF(J42&gt;J43,J42-J43,0)</f>
        <v>18248282</v>
      </c>
      <c r="K45" s="48">
        <f>IF(K42&gt;K43,K42-K43,0)</f>
        <v>2971861</v>
      </c>
      <c r="L45" s="48">
        <f>IF(L42&gt;L43,L42-L43,0)</f>
        <v>49772083</v>
      </c>
      <c r="M45" s="48">
        <f>IF(M42&gt;M43,M42-M43,0)</f>
        <v>0</v>
      </c>
    </row>
    <row r="46" spans="1:13">
      <c r="A46" s="226" t="s">
        <v>134</v>
      </c>
      <c r="B46" s="227"/>
      <c r="C46" s="227"/>
      <c r="D46" s="227"/>
      <c r="E46" s="227"/>
      <c r="F46" s="227"/>
      <c r="G46" s="227"/>
      <c r="H46" s="228"/>
      <c r="I46" s="1">
        <v>150</v>
      </c>
      <c r="J46" s="48">
        <f>IF(J43&gt;J42,J43-J42,0)</f>
        <v>0</v>
      </c>
      <c r="K46" s="48">
        <f>IF(K43&gt;K42,K43-K42,0)</f>
        <v>0</v>
      </c>
      <c r="L46" s="48">
        <f>IF(L43&gt;L42,L43-L42,0)</f>
        <v>0</v>
      </c>
      <c r="M46" s="48">
        <f>IF(M43&gt;M42,M43-M42,0)</f>
        <v>1183653</v>
      </c>
    </row>
    <row r="47" spans="1:13">
      <c r="A47" s="210" t="s">
        <v>135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/>
      <c r="K47" s="7"/>
      <c r="L47" s="132">
        <v>3336360</v>
      </c>
      <c r="M47" s="119">
        <v>175174</v>
      </c>
    </row>
    <row r="48" spans="1:13">
      <c r="A48" s="210" t="s">
        <v>278</v>
      </c>
      <c r="B48" s="211"/>
      <c r="C48" s="211"/>
      <c r="D48" s="211"/>
      <c r="E48" s="211"/>
      <c r="F48" s="211"/>
      <c r="G48" s="211"/>
      <c r="H48" s="212"/>
      <c r="I48" s="1">
        <v>152</v>
      </c>
      <c r="J48" s="118">
        <f>J44-J47</f>
        <v>18248282</v>
      </c>
      <c r="K48" s="118">
        <f>K44-K47</f>
        <v>2971861</v>
      </c>
      <c r="L48" s="118">
        <f>L44-L47</f>
        <v>46435723</v>
      </c>
      <c r="M48" s="118">
        <f>M44-M47</f>
        <v>-1358827</v>
      </c>
    </row>
    <row r="49" spans="1:13">
      <c r="A49" s="226" t="s">
        <v>136</v>
      </c>
      <c r="B49" s="227"/>
      <c r="C49" s="227"/>
      <c r="D49" s="227"/>
      <c r="E49" s="227"/>
      <c r="F49" s="227"/>
      <c r="G49" s="227"/>
      <c r="H49" s="228"/>
      <c r="I49" s="1">
        <v>153</v>
      </c>
      <c r="J49" s="48">
        <f>IF(J48&gt;0,J48,0)</f>
        <v>18248282</v>
      </c>
      <c r="K49" s="48">
        <f>IF(K48&gt;0,K48,0)</f>
        <v>2971861</v>
      </c>
      <c r="L49" s="48">
        <f>IF(L48&gt;0,L48,0)</f>
        <v>46435723</v>
      </c>
      <c r="M49" s="48">
        <f>IF(M48&gt;0,M48,0)</f>
        <v>0</v>
      </c>
    </row>
    <row r="50" spans="1:13">
      <c r="A50" s="247" t="s">
        <v>137</v>
      </c>
      <c r="B50" s="248"/>
      <c r="C50" s="248"/>
      <c r="D50" s="248"/>
      <c r="E50" s="248"/>
      <c r="F50" s="248"/>
      <c r="G50" s="248"/>
      <c r="H50" s="249"/>
      <c r="I50" s="2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1358827</v>
      </c>
    </row>
    <row r="51" spans="1:13" ht="12.75" customHeight="1">
      <c r="A51" s="223" t="s">
        <v>138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17" t="s">
        <v>139</v>
      </c>
      <c r="B52" s="218"/>
      <c r="C52" s="218"/>
      <c r="D52" s="218"/>
      <c r="E52" s="218"/>
      <c r="F52" s="218"/>
      <c r="G52" s="218"/>
      <c r="H52" s="218"/>
      <c r="I52" s="49"/>
      <c r="J52" s="49"/>
      <c r="K52" s="49"/>
      <c r="L52" s="49"/>
      <c r="M52" s="56"/>
    </row>
    <row r="53" spans="1:13">
      <c r="A53" s="226" t="s">
        <v>141</v>
      </c>
      <c r="B53" s="227"/>
      <c r="C53" s="227"/>
      <c r="D53" s="227"/>
      <c r="E53" s="227"/>
      <c r="F53" s="227"/>
      <c r="G53" s="227"/>
      <c r="H53" s="228"/>
      <c r="I53" s="1">
        <v>155</v>
      </c>
      <c r="J53" s="7"/>
      <c r="K53" s="7"/>
      <c r="L53" s="7"/>
      <c r="M53" s="7"/>
    </row>
    <row r="54" spans="1:13">
      <c r="A54" s="226" t="s">
        <v>140</v>
      </c>
      <c r="B54" s="227"/>
      <c r="C54" s="227"/>
      <c r="D54" s="227"/>
      <c r="E54" s="227"/>
      <c r="F54" s="227"/>
      <c r="G54" s="227"/>
      <c r="H54" s="228"/>
      <c r="I54" s="1">
        <v>156</v>
      </c>
      <c r="J54" s="8"/>
      <c r="K54" s="8"/>
      <c r="L54" s="8"/>
      <c r="M54" s="8"/>
    </row>
    <row r="55" spans="1:13" ht="12.75" customHeight="1">
      <c r="A55" s="223" t="s">
        <v>142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>
      <c r="A56" s="217" t="s">
        <v>143</v>
      </c>
      <c r="B56" s="218"/>
      <c r="C56" s="218"/>
      <c r="D56" s="218"/>
      <c r="E56" s="218"/>
      <c r="F56" s="218"/>
      <c r="G56" s="218"/>
      <c r="H56" s="219"/>
      <c r="I56" s="9">
        <v>157</v>
      </c>
      <c r="J56" s="6"/>
      <c r="K56" s="6"/>
      <c r="L56" s="6"/>
      <c r="M56" s="6"/>
    </row>
    <row r="57" spans="1:13">
      <c r="A57" s="210" t="s">
        <v>279</v>
      </c>
      <c r="B57" s="211"/>
      <c r="C57" s="211"/>
      <c r="D57" s="211"/>
      <c r="E57" s="211"/>
      <c r="F57" s="211"/>
      <c r="G57" s="211"/>
      <c r="H57" s="212"/>
      <c r="I57" s="1">
        <v>158</v>
      </c>
      <c r="J57" s="118">
        <f>SUM(J58:J64)</f>
        <v>0</v>
      </c>
      <c r="K57" s="118">
        <f>SUM(K58:K64)</f>
        <v>0</v>
      </c>
      <c r="L57" s="118">
        <f>SUM(L58:L64)</f>
        <v>0</v>
      </c>
      <c r="M57" s="118">
        <f>SUM(M58:M64)</f>
        <v>0</v>
      </c>
    </row>
    <row r="58" spans="1:13">
      <c r="A58" s="207" t="s">
        <v>144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>
      <c r="A59" s="207" t="s">
        <v>145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>
      <c r="A60" s="207" t="s">
        <v>146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>
      <c r="A61" s="207" t="s">
        <v>147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>
      <c r="A62" s="207" t="s">
        <v>148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>
      <c r="A63" s="207" t="s">
        <v>149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>
      <c r="A64" s="207" t="s">
        <v>150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>
      <c r="A65" s="210" t="s">
        <v>151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>
      <c r="A66" s="210" t="s">
        <v>152</v>
      </c>
      <c r="B66" s="211"/>
      <c r="C66" s="211"/>
      <c r="D66" s="211"/>
      <c r="E66" s="211"/>
      <c r="F66" s="211"/>
      <c r="G66" s="211"/>
      <c r="H66" s="212"/>
      <c r="I66" s="1">
        <v>167</v>
      </c>
      <c r="J66" s="118">
        <f>J57-J65</f>
        <v>0</v>
      </c>
      <c r="K66" s="118">
        <f>K57-K65</f>
        <v>0</v>
      </c>
      <c r="L66" s="118">
        <f>L57-L65</f>
        <v>0</v>
      </c>
      <c r="M66" s="118">
        <f>M57-M65</f>
        <v>0</v>
      </c>
    </row>
    <row r="67" spans="1:13">
      <c r="A67" s="210" t="s">
        <v>153</v>
      </c>
      <c r="B67" s="211"/>
      <c r="C67" s="211"/>
      <c r="D67" s="211"/>
      <c r="E67" s="211"/>
      <c r="F67" s="211"/>
      <c r="G67" s="211"/>
      <c r="H67" s="212"/>
      <c r="I67" s="1">
        <v>168</v>
      </c>
      <c r="J67" s="122">
        <f>J56+J66</f>
        <v>0</v>
      </c>
      <c r="K67" s="122">
        <f>K56+K66</f>
        <v>0</v>
      </c>
      <c r="L67" s="122">
        <f>L56+L66</f>
        <v>0</v>
      </c>
      <c r="M67" s="122">
        <f>M56+M66</f>
        <v>0</v>
      </c>
    </row>
    <row r="68" spans="1:13" ht="12.75" customHeight="1">
      <c r="A68" s="251" t="s">
        <v>154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155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 customHeight="1">
      <c r="A70" s="226" t="s">
        <v>141</v>
      </c>
      <c r="B70" s="227"/>
      <c r="C70" s="227"/>
      <c r="D70" s="227"/>
      <c r="E70" s="227"/>
      <c r="F70" s="227"/>
      <c r="G70" s="227"/>
      <c r="H70" s="228"/>
      <c r="I70" s="1">
        <v>169</v>
      </c>
      <c r="J70" s="7"/>
      <c r="K70" s="7"/>
      <c r="L70" s="7"/>
      <c r="M70" s="7"/>
    </row>
    <row r="71" spans="1:13" ht="12.75" customHeight="1">
      <c r="A71" s="226" t="s">
        <v>140</v>
      </c>
      <c r="B71" s="227"/>
      <c r="C71" s="227"/>
      <c r="D71" s="227"/>
      <c r="E71" s="227"/>
      <c r="F71" s="227"/>
      <c r="G71" s="227"/>
      <c r="H71" s="228"/>
      <c r="I71" s="4">
        <v>170</v>
      </c>
      <c r="J71" s="8"/>
      <c r="K71" s="8"/>
      <c r="L71" s="8"/>
      <c r="M71" s="8"/>
    </row>
  </sheetData>
  <protectedRanges>
    <protectedRange sqref="J8:K8" name="Range1"/>
    <protectedRange sqref="J11:K11" name="Range1_1"/>
    <protectedRange sqref="J20:K21" name="Range1_2"/>
    <protectedRange sqref="J26:K26" name="Range1_2_1"/>
    <protectedRange sqref="J28:K30" name="Range1_3"/>
    <protectedRange sqref="J35:K35" name="Range1_4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3:M3"/>
    <mergeCell ref="A4:H4"/>
    <mergeCell ref="A6:H6"/>
    <mergeCell ref="A7:H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70:M71 K56:M57 J53:L54 J56:J67 K66:M67 K58:L65 J47: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K7:M7 J48:M50 J7:J10 K12:M12 K8:L9 K16:M16 K22:M22 K27:M27 K33:M33 K13:L15 K17:L21 K23:L26 K28:L32 J12:J46 K34:L41">
      <formula1>0</formula1>
    </dataValidation>
  </dataValidations>
  <pageMargins left="0.75" right="0.75" top="1" bottom="1" header="0.5" footer="0.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2"/>
  <sheetViews>
    <sheetView view="pageBreakPreview" zoomScale="110" zoomScaleNormal="100" workbookViewId="0">
      <selection activeCell="A6" sqref="A6:K6"/>
    </sheetView>
  </sheetViews>
  <sheetFormatPr defaultRowHeight="12.75"/>
  <cols>
    <col min="1" max="9" width="9.140625" style="47"/>
    <col min="10" max="11" width="12.7109375" style="47" customWidth="1"/>
    <col min="12" max="12" width="9.140625" style="47" customWidth="1"/>
    <col min="13" max="13" width="8.85546875" style="47" customWidth="1"/>
    <col min="14" max="16384" width="9.140625" style="47"/>
  </cols>
  <sheetData>
    <row r="1" spans="1:13" ht="15.75" customHeight="1">
      <c r="A1" s="255" t="s">
        <v>156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3" ht="15" customHeight="1">
      <c r="A2" s="256" t="s">
        <v>298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3" ht="15" customHeight="1">
      <c r="A3" s="258" t="s">
        <v>299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24">
      <c r="A4" s="257" t="str">
        <f>+'P&amp;L'!A4</f>
        <v>ITEM</v>
      </c>
      <c r="B4" s="257"/>
      <c r="C4" s="257"/>
      <c r="D4" s="257"/>
      <c r="E4" s="257"/>
      <c r="F4" s="257"/>
      <c r="G4" s="257"/>
      <c r="H4" s="257"/>
      <c r="I4" s="115" t="str">
        <f>+'P&amp;L'!I4</f>
        <v>AOP
ind.</v>
      </c>
      <c r="J4" s="116" t="str">
        <f>+'P&amp;L'!J4</f>
        <v>Preceding year</v>
      </c>
      <c r="K4" s="116" t="str">
        <f>+'P&amp;L'!L4</f>
        <v>Current year</v>
      </c>
    </row>
    <row r="5" spans="1:13">
      <c r="A5" s="259">
        <v>1</v>
      </c>
      <c r="B5" s="259"/>
      <c r="C5" s="259"/>
      <c r="D5" s="259"/>
      <c r="E5" s="259"/>
      <c r="F5" s="259"/>
      <c r="G5" s="259"/>
      <c r="H5" s="259"/>
      <c r="I5" s="60">
        <v>2</v>
      </c>
      <c r="J5" s="61" t="s">
        <v>2</v>
      </c>
      <c r="K5" s="61" t="s">
        <v>3</v>
      </c>
    </row>
    <row r="6" spans="1:13" ht="19.5" customHeight="1">
      <c r="A6" s="223" t="s">
        <v>157</v>
      </c>
      <c r="B6" s="234"/>
      <c r="C6" s="234"/>
      <c r="D6" s="234"/>
      <c r="E6" s="234"/>
      <c r="F6" s="234"/>
      <c r="G6" s="234"/>
      <c r="H6" s="234"/>
      <c r="I6" s="260"/>
      <c r="J6" s="260"/>
      <c r="K6" s="261"/>
    </row>
    <row r="7" spans="1:13" ht="16.5" customHeight="1">
      <c r="A7" s="207" t="s">
        <v>158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18248282</v>
      </c>
      <c r="K7" s="7">
        <v>49772083</v>
      </c>
    </row>
    <row r="8" spans="1:13" ht="16.5" customHeight="1">
      <c r="A8" s="207" t="s">
        <v>159</v>
      </c>
      <c r="B8" s="208"/>
      <c r="C8" s="208"/>
      <c r="D8" s="208"/>
      <c r="E8" s="208"/>
      <c r="F8" s="208"/>
      <c r="G8" s="208"/>
      <c r="H8" s="208"/>
      <c r="I8" s="1">
        <v>2</v>
      </c>
      <c r="J8" s="5">
        <v>31541051</v>
      </c>
      <c r="K8" s="7">
        <v>29558874</v>
      </c>
    </row>
    <row r="9" spans="1:13" ht="16.5" customHeight="1">
      <c r="A9" s="207" t="s">
        <v>160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3" ht="16.5" customHeight="1">
      <c r="A10" s="207" t="s">
        <v>161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>
        <v>44666716</v>
      </c>
      <c r="K10" s="7">
        <v>14639939</v>
      </c>
    </row>
    <row r="11" spans="1:13" ht="16.5" customHeight="1">
      <c r="A11" s="207" t="s">
        <v>162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>
        <v>3466793</v>
      </c>
      <c r="K11" s="7">
        <v>5621697</v>
      </c>
    </row>
    <row r="12" spans="1:13" ht="16.5" customHeight="1">
      <c r="A12" s="207" t="s">
        <v>163</v>
      </c>
      <c r="B12" s="208"/>
      <c r="C12" s="208"/>
      <c r="D12" s="208"/>
      <c r="E12" s="208"/>
      <c r="F12" s="208"/>
      <c r="G12" s="208"/>
      <c r="H12" s="208"/>
      <c r="I12" s="1">
        <v>6</v>
      </c>
      <c r="J12" s="5">
        <v>43334</v>
      </c>
      <c r="K12" s="7">
        <v>9851736</v>
      </c>
    </row>
    <row r="13" spans="1:13">
      <c r="A13" s="210" t="s">
        <v>171</v>
      </c>
      <c r="B13" s="211"/>
      <c r="C13" s="211"/>
      <c r="D13" s="211"/>
      <c r="E13" s="211"/>
      <c r="F13" s="211"/>
      <c r="G13" s="211"/>
      <c r="H13" s="211"/>
      <c r="I13" s="1">
        <v>7</v>
      </c>
      <c r="J13" s="123">
        <f>SUM(J7:J12)</f>
        <v>97966176</v>
      </c>
      <c r="K13" s="118">
        <f>SUM(K7:K12)</f>
        <v>109444329</v>
      </c>
    </row>
    <row r="14" spans="1:13">
      <c r="A14" s="207" t="s">
        <v>179</v>
      </c>
      <c r="B14" s="208"/>
      <c r="C14" s="208"/>
      <c r="D14" s="208"/>
      <c r="E14" s="208"/>
      <c r="F14" s="208"/>
      <c r="G14" s="208"/>
      <c r="H14" s="208"/>
      <c r="I14" s="1">
        <v>8</v>
      </c>
      <c r="J14" s="5">
        <v>455453</v>
      </c>
      <c r="K14" s="7">
        <v>23863406</v>
      </c>
    </row>
    <row r="15" spans="1:13">
      <c r="A15" s="207" t="s">
        <v>180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3">
      <c r="A16" s="207" t="s">
        <v>181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>
      <c r="A17" s="207" t="s">
        <v>182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>
      <c r="A18" s="210" t="s">
        <v>183</v>
      </c>
      <c r="B18" s="211"/>
      <c r="C18" s="211"/>
      <c r="D18" s="211"/>
      <c r="E18" s="211"/>
      <c r="F18" s="211"/>
      <c r="G18" s="211"/>
      <c r="H18" s="211"/>
      <c r="I18" s="1">
        <v>12</v>
      </c>
      <c r="J18" s="123">
        <f>SUM(J14:J17)</f>
        <v>455453</v>
      </c>
      <c r="K18" s="118">
        <f>SUM(K14:K17)</f>
        <v>23863406</v>
      </c>
    </row>
    <row r="19" spans="1:11">
      <c r="A19" s="210" t="s">
        <v>172</v>
      </c>
      <c r="B19" s="211"/>
      <c r="C19" s="211"/>
      <c r="D19" s="211"/>
      <c r="E19" s="211"/>
      <c r="F19" s="211"/>
      <c r="G19" s="211"/>
      <c r="H19" s="211"/>
      <c r="I19" s="1">
        <v>13</v>
      </c>
      <c r="J19" s="123">
        <f>IF(J13&gt;J18,J13-J18,0)</f>
        <v>97510723</v>
      </c>
      <c r="K19" s="118">
        <f>IF(K13&gt;K18,K13-K18,0)</f>
        <v>85580923</v>
      </c>
    </row>
    <row r="20" spans="1:11">
      <c r="A20" s="210" t="s">
        <v>173</v>
      </c>
      <c r="B20" s="211"/>
      <c r="C20" s="211"/>
      <c r="D20" s="211"/>
      <c r="E20" s="211"/>
      <c r="F20" s="211"/>
      <c r="G20" s="211"/>
      <c r="H20" s="211"/>
      <c r="I20" s="1">
        <v>14</v>
      </c>
      <c r="J20" s="123">
        <f>IF(J18&gt;J13,J18-J13,0)</f>
        <v>0</v>
      </c>
      <c r="K20" s="118">
        <f>IF(K18&gt;K13,K18-K13,0)</f>
        <v>0</v>
      </c>
    </row>
    <row r="21" spans="1:11">
      <c r="A21" s="223" t="s">
        <v>174</v>
      </c>
      <c r="B21" s="234"/>
      <c r="C21" s="234"/>
      <c r="D21" s="234"/>
      <c r="E21" s="234"/>
      <c r="F21" s="234"/>
      <c r="G21" s="234"/>
      <c r="H21" s="234"/>
      <c r="I21" s="260"/>
      <c r="J21" s="260"/>
      <c r="K21" s="261"/>
    </row>
    <row r="22" spans="1:11">
      <c r="A22" s="207" t="s">
        <v>184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/>
      <c r="K22" s="7"/>
    </row>
    <row r="23" spans="1:11">
      <c r="A23" s="207" t="s">
        <v>185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>
      <c r="A24" s="207" t="s">
        <v>186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>
      <c r="A25" s="207" t="s">
        <v>187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>
        <v>5741416</v>
      </c>
      <c r="K25" s="7">
        <v>7895757</v>
      </c>
    </row>
    <row r="26" spans="1:11">
      <c r="A26" s="207" t="s">
        <v>188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>
      <c r="A27" s="210" t="s">
        <v>189</v>
      </c>
      <c r="B27" s="211"/>
      <c r="C27" s="211"/>
      <c r="D27" s="211"/>
      <c r="E27" s="211"/>
      <c r="F27" s="211"/>
      <c r="G27" s="211"/>
      <c r="H27" s="211"/>
      <c r="I27" s="1">
        <v>20</v>
      </c>
      <c r="J27" s="123">
        <f>SUM(J22:J26)</f>
        <v>5741416</v>
      </c>
      <c r="K27" s="118">
        <f>SUM(K22:K26)</f>
        <v>7895757</v>
      </c>
    </row>
    <row r="28" spans="1:11">
      <c r="A28" s="207" t="s">
        <v>190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>
        <v>56544781</v>
      </c>
      <c r="K28" s="7">
        <v>11766621</v>
      </c>
    </row>
    <row r="29" spans="1:11">
      <c r="A29" s="207" t="s">
        <v>191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>
      <c r="A30" s="207" t="s">
        <v>192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>
      <c r="A31" s="210" t="s">
        <v>193</v>
      </c>
      <c r="B31" s="211"/>
      <c r="C31" s="211"/>
      <c r="D31" s="211"/>
      <c r="E31" s="211"/>
      <c r="F31" s="211"/>
      <c r="G31" s="211"/>
      <c r="H31" s="211"/>
      <c r="I31" s="1">
        <v>24</v>
      </c>
      <c r="J31" s="123">
        <f>SUM(J28:J30)</f>
        <v>56544781</v>
      </c>
      <c r="K31" s="118">
        <f>SUM(K28:K30)</f>
        <v>11766621</v>
      </c>
    </row>
    <row r="32" spans="1:11">
      <c r="A32" s="210" t="s">
        <v>176</v>
      </c>
      <c r="B32" s="211"/>
      <c r="C32" s="211"/>
      <c r="D32" s="211"/>
      <c r="E32" s="211"/>
      <c r="F32" s="211"/>
      <c r="G32" s="211"/>
      <c r="H32" s="211"/>
      <c r="I32" s="1">
        <v>25</v>
      </c>
      <c r="J32" s="123">
        <f>IF(J27&gt;J31,J27-J31,0)</f>
        <v>0</v>
      </c>
      <c r="K32" s="118">
        <f>IF(K27&gt;K31,K27-K31,0)</f>
        <v>0</v>
      </c>
    </row>
    <row r="33" spans="1:11">
      <c r="A33" s="210" t="s">
        <v>175</v>
      </c>
      <c r="B33" s="211"/>
      <c r="C33" s="211"/>
      <c r="D33" s="211"/>
      <c r="E33" s="211"/>
      <c r="F33" s="211"/>
      <c r="G33" s="211"/>
      <c r="H33" s="211"/>
      <c r="I33" s="1">
        <v>26</v>
      </c>
      <c r="J33" s="123">
        <f>IF(J31&gt;J27,J31-J27,0)</f>
        <v>50803365</v>
      </c>
      <c r="K33" s="118">
        <f>IF(K31&gt;K27,K31-K27,0)</f>
        <v>3870864</v>
      </c>
    </row>
    <row r="34" spans="1:11">
      <c r="A34" s="223" t="s">
        <v>164</v>
      </c>
      <c r="B34" s="234"/>
      <c r="C34" s="234"/>
      <c r="D34" s="234"/>
      <c r="E34" s="234"/>
      <c r="F34" s="234"/>
      <c r="G34" s="234"/>
      <c r="H34" s="234"/>
      <c r="I34" s="260"/>
      <c r="J34" s="260"/>
      <c r="K34" s="261"/>
    </row>
    <row r="35" spans="1:11">
      <c r="A35" s="207" t="s">
        <v>194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/>
      <c r="K35" s="7"/>
    </row>
    <row r="36" spans="1:11">
      <c r="A36" s="207" t="s">
        <v>195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>
      <c r="A37" s="207" t="s">
        <v>196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>
        <v>31530900</v>
      </c>
    </row>
    <row r="38" spans="1:11">
      <c r="A38" s="210" t="s">
        <v>197</v>
      </c>
      <c r="B38" s="211"/>
      <c r="C38" s="211"/>
      <c r="D38" s="211"/>
      <c r="E38" s="211"/>
      <c r="F38" s="211"/>
      <c r="G38" s="211"/>
      <c r="H38" s="211"/>
      <c r="I38" s="1">
        <v>30</v>
      </c>
      <c r="J38" s="123">
        <f>SUM(J35:J37)</f>
        <v>0</v>
      </c>
      <c r="K38" s="118">
        <f>SUM(K35:K37)</f>
        <v>31530900</v>
      </c>
    </row>
    <row r="39" spans="1:11">
      <c r="A39" s="207" t="s">
        <v>198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>
        <v>89821</v>
      </c>
      <c r="K39" s="7">
        <v>1152079</v>
      </c>
    </row>
    <row r="40" spans="1:11">
      <c r="A40" s="207" t="s">
        <v>199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>
        <v>5784750</v>
      </c>
      <c r="K40" s="7">
        <v>29822493</v>
      </c>
    </row>
    <row r="41" spans="1:11">
      <c r="A41" s="207" t="s">
        <v>200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>
        <v>35644342</v>
      </c>
      <c r="K41" s="7">
        <v>57463289</v>
      </c>
    </row>
    <row r="42" spans="1:11">
      <c r="A42" s="207" t="s">
        <v>201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>
      <c r="A43" s="207" t="s">
        <v>202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>
        <v>6449932</v>
      </c>
      <c r="K43" s="7">
        <v>22914676</v>
      </c>
    </row>
    <row r="44" spans="1:11">
      <c r="A44" s="210" t="s">
        <v>203</v>
      </c>
      <c r="B44" s="211"/>
      <c r="C44" s="211"/>
      <c r="D44" s="211"/>
      <c r="E44" s="211"/>
      <c r="F44" s="211"/>
      <c r="G44" s="211"/>
      <c r="H44" s="211"/>
      <c r="I44" s="1">
        <v>36</v>
      </c>
      <c r="J44" s="123">
        <f>SUM(J39:J43)</f>
        <v>47968845</v>
      </c>
      <c r="K44" s="118">
        <f>SUM(K39:K43)</f>
        <v>111352537</v>
      </c>
    </row>
    <row r="45" spans="1:11">
      <c r="A45" s="210" t="s">
        <v>177</v>
      </c>
      <c r="B45" s="211"/>
      <c r="C45" s="211"/>
      <c r="D45" s="211"/>
      <c r="E45" s="211"/>
      <c r="F45" s="211"/>
      <c r="G45" s="211"/>
      <c r="H45" s="211"/>
      <c r="I45" s="1">
        <v>37</v>
      </c>
      <c r="J45" s="123">
        <f>IF(J38&gt;J44,J38-J44,0)</f>
        <v>0</v>
      </c>
      <c r="K45" s="118">
        <f>IF(K38&gt;K44,K38-K44,0)</f>
        <v>0</v>
      </c>
    </row>
    <row r="46" spans="1:11">
      <c r="A46" s="210" t="s">
        <v>178</v>
      </c>
      <c r="B46" s="211"/>
      <c r="C46" s="211"/>
      <c r="D46" s="211"/>
      <c r="E46" s="211"/>
      <c r="F46" s="211"/>
      <c r="G46" s="211"/>
      <c r="H46" s="211"/>
      <c r="I46" s="1">
        <v>38</v>
      </c>
      <c r="J46" s="123">
        <f>IF(J44&gt;J38,J44-J38,0)</f>
        <v>47968845</v>
      </c>
      <c r="K46" s="118">
        <f>IF(K44&gt;K38,K44-K38,0)</f>
        <v>79821637</v>
      </c>
    </row>
    <row r="47" spans="1:11">
      <c r="A47" s="207" t="s">
        <v>165</v>
      </c>
      <c r="B47" s="208"/>
      <c r="C47" s="208"/>
      <c r="D47" s="208"/>
      <c r="E47" s="208"/>
      <c r="F47" s="208"/>
      <c r="G47" s="208"/>
      <c r="H47" s="208"/>
      <c r="I47" s="1">
        <v>39</v>
      </c>
      <c r="J47" s="58">
        <f>IF(J19-J20+J32-J33+J45-J46&gt;0,J19-J20+J32-J33+J45-J46,0)</f>
        <v>0</v>
      </c>
      <c r="K47" s="48">
        <f>IF(K19-K20+K32-K33+K45-K46&gt;0,K19-K20+K32-K33+K45-K46,0)</f>
        <v>1888422</v>
      </c>
    </row>
    <row r="48" spans="1:11">
      <c r="A48" s="207" t="s">
        <v>166</v>
      </c>
      <c r="B48" s="208"/>
      <c r="C48" s="208"/>
      <c r="D48" s="208"/>
      <c r="E48" s="208"/>
      <c r="F48" s="208"/>
      <c r="G48" s="208"/>
      <c r="H48" s="208"/>
      <c r="I48" s="1">
        <v>40</v>
      </c>
      <c r="J48" s="58">
        <f>IF(J20-J19+J33-J32+J46-J45&gt;0,J20-J19+J33-J32+J46-J45,0)</f>
        <v>1261487</v>
      </c>
      <c r="K48" s="48">
        <f>IF(K20-K19+K33-K32+K46-K45&gt;0,K20-K19+K33-K32+K46-K45,0)</f>
        <v>0</v>
      </c>
    </row>
    <row r="49" spans="1:11">
      <c r="A49" s="207" t="s">
        <v>167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5472575</v>
      </c>
      <c r="K49" s="7">
        <v>3228873</v>
      </c>
    </row>
    <row r="50" spans="1:11">
      <c r="A50" s="207" t="s">
        <v>168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>
        <v>1888422</v>
      </c>
    </row>
    <row r="51" spans="1:11">
      <c r="A51" s="207" t="s">
        <v>169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>
        <v>1261487</v>
      </c>
      <c r="K51" s="7"/>
    </row>
    <row r="52" spans="1:11">
      <c r="A52" s="239" t="s">
        <v>170</v>
      </c>
      <c r="B52" s="240"/>
      <c r="C52" s="240"/>
      <c r="D52" s="240"/>
      <c r="E52" s="240"/>
      <c r="F52" s="240"/>
      <c r="G52" s="240"/>
      <c r="H52" s="240"/>
      <c r="I52" s="4">
        <v>44</v>
      </c>
      <c r="J52" s="59">
        <v>4211088</v>
      </c>
      <c r="K52" s="55">
        <v>5117295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0:H10"/>
    <mergeCell ref="A1:K1"/>
    <mergeCell ref="A2:K2"/>
    <mergeCell ref="A4:H4"/>
    <mergeCell ref="A9:H9"/>
    <mergeCell ref="A3:M3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7:K12 J28:K30 J22:K26 J14:K17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7:K27 J31:K33 J18:K20 J52:K52 J44:K48 J38:K38">
      <formula1>0</formula1>
    </dataValidation>
  </dataValidations>
  <pageMargins left="0.75" right="0.75" top="1" bottom="1" header="0.5" footer="0.5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8"/>
  <sheetViews>
    <sheetView view="pageBreakPreview" zoomScale="125" zoomScaleNormal="100" workbookViewId="0">
      <selection activeCell="O29" sqref="O29"/>
    </sheetView>
  </sheetViews>
  <sheetFormatPr defaultRowHeight="12.75"/>
  <cols>
    <col min="1" max="4" width="9.140625" style="64"/>
    <col min="5" max="5" width="10.42578125" style="64" bestFit="1" customWidth="1"/>
    <col min="6" max="9" width="9.140625" style="64"/>
    <col min="10" max="11" width="12.7109375" style="64" customWidth="1"/>
    <col min="12" max="16384" width="9.140625" style="64"/>
  </cols>
  <sheetData>
    <row r="1" spans="1:12" ht="15.75" customHeight="1">
      <c r="A1" s="268" t="s">
        <v>204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63"/>
    </row>
    <row r="2" spans="1:12" ht="15.75">
      <c r="A2" s="38"/>
      <c r="B2" s="62"/>
      <c r="C2" s="278" t="s">
        <v>214</v>
      </c>
      <c r="D2" s="279"/>
      <c r="E2" s="65">
        <v>40544</v>
      </c>
      <c r="F2" s="114" t="s">
        <v>215</v>
      </c>
      <c r="G2" s="280">
        <v>40816</v>
      </c>
      <c r="H2" s="281"/>
      <c r="I2" s="62"/>
      <c r="J2" s="62"/>
      <c r="K2" s="62"/>
      <c r="L2" s="66"/>
    </row>
    <row r="3" spans="1:12" ht="24">
      <c r="A3" s="282" t="s">
        <v>5</v>
      </c>
      <c r="B3" s="282"/>
      <c r="C3" s="282"/>
      <c r="D3" s="282"/>
      <c r="E3" s="282"/>
      <c r="F3" s="282"/>
      <c r="G3" s="282"/>
      <c r="H3" s="282"/>
      <c r="I3" s="68" t="s">
        <v>6</v>
      </c>
      <c r="J3" s="68" t="s">
        <v>7</v>
      </c>
      <c r="K3" s="68" t="s">
        <v>8</v>
      </c>
    </row>
    <row r="4" spans="1:12">
      <c r="A4" s="283">
        <v>1</v>
      </c>
      <c r="B4" s="283"/>
      <c r="C4" s="283"/>
      <c r="D4" s="283"/>
      <c r="E4" s="283"/>
      <c r="F4" s="283"/>
      <c r="G4" s="283"/>
      <c r="H4" s="283"/>
      <c r="I4" s="70">
        <v>2</v>
      </c>
      <c r="J4" s="69" t="s">
        <v>2</v>
      </c>
      <c r="K4" s="69" t="s">
        <v>3</v>
      </c>
    </row>
    <row r="5" spans="1:12" ht="12.75" customHeight="1">
      <c r="A5" s="270" t="s">
        <v>218</v>
      </c>
      <c r="B5" s="271"/>
      <c r="C5" s="271"/>
      <c r="D5" s="271"/>
      <c r="E5" s="271"/>
      <c r="F5" s="271"/>
      <c r="G5" s="271"/>
      <c r="H5" s="271"/>
      <c r="I5" s="39">
        <v>1</v>
      </c>
      <c r="J5" s="6">
        <f>+[1]Bilanca!J70</f>
        <v>419958400</v>
      </c>
      <c r="K5" s="6">
        <f>+[1]Bilanca!K70</f>
        <v>419958400</v>
      </c>
    </row>
    <row r="6" spans="1:12">
      <c r="A6" s="270" t="s">
        <v>219</v>
      </c>
      <c r="B6" s="271"/>
      <c r="C6" s="271"/>
      <c r="D6" s="271"/>
      <c r="E6" s="271"/>
      <c r="F6" s="271"/>
      <c r="G6" s="271"/>
      <c r="H6" s="271"/>
      <c r="I6" s="39">
        <v>2</v>
      </c>
      <c r="J6" s="7">
        <f>+[1]Bilanca!J71</f>
        <v>181239161</v>
      </c>
      <c r="K6" s="7">
        <f>+[1]Bilanca!K71</f>
        <v>183075797</v>
      </c>
    </row>
    <row r="7" spans="1:12">
      <c r="A7" s="270" t="s">
        <v>220</v>
      </c>
      <c r="B7" s="271"/>
      <c r="C7" s="271"/>
      <c r="D7" s="271"/>
      <c r="E7" s="271"/>
      <c r="F7" s="271"/>
      <c r="G7" s="271"/>
      <c r="H7" s="271"/>
      <c r="I7" s="39">
        <v>3</v>
      </c>
      <c r="J7" s="7">
        <f>+[1]Bilanca!J72</f>
        <v>16171699</v>
      </c>
      <c r="K7" s="7">
        <f>+[1]Bilanca!K72</f>
        <v>15502305</v>
      </c>
    </row>
    <row r="8" spans="1:12" ht="12" customHeight="1">
      <c r="A8" s="270" t="s">
        <v>221</v>
      </c>
      <c r="B8" s="271"/>
      <c r="C8" s="271"/>
      <c r="D8" s="271"/>
      <c r="E8" s="271"/>
      <c r="F8" s="271"/>
      <c r="G8" s="271"/>
      <c r="H8" s="271"/>
      <c r="I8" s="39">
        <v>4</v>
      </c>
      <c r="J8" s="7"/>
      <c r="K8" s="7"/>
    </row>
    <row r="9" spans="1:12" ht="12" customHeight="1">
      <c r="A9" s="270" t="s">
        <v>222</v>
      </c>
      <c r="B9" s="271"/>
      <c r="C9" s="271"/>
      <c r="D9" s="271"/>
      <c r="E9" s="271"/>
      <c r="F9" s="271"/>
      <c r="G9" s="271"/>
      <c r="H9" s="271"/>
      <c r="I9" s="39">
        <v>5</v>
      </c>
      <c r="J9" s="7">
        <f>+[1]Bilanca!J83</f>
        <v>20742561</v>
      </c>
      <c r="K9" s="7">
        <f>+[1]Bilanca!K83</f>
        <v>46435723</v>
      </c>
    </row>
    <row r="10" spans="1:12" ht="12" customHeight="1">
      <c r="A10" s="270" t="s">
        <v>223</v>
      </c>
      <c r="B10" s="271"/>
      <c r="C10" s="271"/>
      <c r="D10" s="271"/>
      <c r="E10" s="271"/>
      <c r="F10" s="271"/>
      <c r="G10" s="271"/>
      <c r="H10" s="271"/>
      <c r="I10" s="39">
        <v>6</v>
      </c>
      <c r="J10" s="7"/>
      <c r="K10" s="7"/>
    </row>
    <row r="11" spans="1:12" ht="12" customHeight="1">
      <c r="A11" s="270" t="s">
        <v>224</v>
      </c>
      <c r="B11" s="271"/>
      <c r="C11" s="271"/>
      <c r="D11" s="271"/>
      <c r="E11" s="271"/>
      <c r="F11" s="271"/>
      <c r="G11" s="271"/>
      <c r="H11" s="271"/>
      <c r="I11" s="39">
        <v>7</v>
      </c>
      <c r="J11" s="7"/>
      <c r="K11" s="7"/>
    </row>
    <row r="12" spans="1:12" ht="12" customHeight="1">
      <c r="A12" s="270" t="s">
        <v>225</v>
      </c>
      <c r="B12" s="271"/>
      <c r="C12" s="271"/>
      <c r="D12" s="271"/>
      <c r="E12" s="271"/>
      <c r="F12" s="271"/>
      <c r="G12" s="271"/>
      <c r="H12" s="271"/>
      <c r="I12" s="39">
        <v>8</v>
      </c>
      <c r="J12" s="7"/>
      <c r="K12" s="7"/>
    </row>
    <row r="13" spans="1:12" ht="12" customHeight="1">
      <c r="A13" s="270" t="s">
        <v>226</v>
      </c>
      <c r="B13" s="271"/>
      <c r="C13" s="271"/>
      <c r="D13" s="271"/>
      <c r="E13" s="271"/>
      <c r="F13" s="271"/>
      <c r="G13" s="271"/>
      <c r="H13" s="271"/>
      <c r="I13" s="39">
        <v>9</v>
      </c>
      <c r="J13" s="7">
        <f>+[1]Bilanca!J78</f>
        <v>10185353</v>
      </c>
      <c r="K13" s="7">
        <f>+[1]Bilanca!K78</f>
        <v>10185353</v>
      </c>
    </row>
    <row r="14" spans="1:12" ht="12.75" customHeight="1">
      <c r="A14" s="277" t="s">
        <v>205</v>
      </c>
      <c r="B14" s="272"/>
      <c r="C14" s="272"/>
      <c r="D14" s="272"/>
      <c r="E14" s="272"/>
      <c r="F14" s="272"/>
      <c r="G14" s="272"/>
      <c r="H14" s="272"/>
      <c r="I14" s="39">
        <v>10</v>
      </c>
      <c r="J14" s="118">
        <f>SUM(J5:J13)</f>
        <v>648297174</v>
      </c>
      <c r="K14" s="118">
        <f>SUM(K5:K13)</f>
        <v>675157578</v>
      </c>
    </row>
    <row r="15" spans="1:12" ht="12.75" customHeight="1">
      <c r="A15" s="270" t="s">
        <v>206</v>
      </c>
      <c r="B15" s="271"/>
      <c r="C15" s="271"/>
      <c r="D15" s="271"/>
      <c r="E15" s="271"/>
      <c r="F15" s="271"/>
      <c r="G15" s="271"/>
      <c r="H15" s="271"/>
      <c r="I15" s="39">
        <v>11</v>
      </c>
      <c r="J15" s="41"/>
      <c r="K15" s="41"/>
    </row>
    <row r="16" spans="1:12" ht="12.75" customHeight="1">
      <c r="A16" s="270" t="s">
        <v>207</v>
      </c>
      <c r="B16" s="271"/>
      <c r="C16" s="271"/>
      <c r="D16" s="271"/>
      <c r="E16" s="271"/>
      <c r="F16" s="271"/>
      <c r="G16" s="271"/>
      <c r="H16" s="271"/>
      <c r="I16" s="39">
        <v>12</v>
      </c>
      <c r="J16" s="41"/>
      <c r="K16" s="41"/>
    </row>
    <row r="17" spans="1:11" ht="12.75" customHeight="1">
      <c r="A17" s="270" t="s">
        <v>208</v>
      </c>
      <c r="B17" s="271"/>
      <c r="C17" s="271"/>
      <c r="D17" s="271"/>
      <c r="E17" s="271"/>
      <c r="F17" s="271"/>
      <c r="G17" s="271"/>
      <c r="H17" s="271"/>
      <c r="I17" s="39">
        <v>13</v>
      </c>
      <c r="J17" s="41"/>
      <c r="K17" s="41"/>
    </row>
    <row r="18" spans="1:11" ht="12.75" customHeight="1">
      <c r="A18" s="270" t="s">
        <v>209</v>
      </c>
      <c r="B18" s="271"/>
      <c r="C18" s="271"/>
      <c r="D18" s="271"/>
      <c r="E18" s="271"/>
      <c r="F18" s="271"/>
      <c r="G18" s="271"/>
      <c r="H18" s="271"/>
      <c r="I18" s="39">
        <v>14</v>
      </c>
      <c r="J18" s="41"/>
      <c r="K18" s="41"/>
    </row>
    <row r="19" spans="1:11" ht="12.75" customHeight="1">
      <c r="A19" s="270" t="s">
        <v>210</v>
      </c>
      <c r="B19" s="271"/>
      <c r="C19" s="271"/>
      <c r="D19" s="271"/>
      <c r="E19" s="271"/>
      <c r="F19" s="271"/>
      <c r="G19" s="271"/>
      <c r="H19" s="271"/>
      <c r="I19" s="39">
        <v>15</v>
      </c>
      <c r="J19" s="41"/>
      <c r="K19" s="41"/>
    </row>
    <row r="20" spans="1:11" ht="15" customHeight="1">
      <c r="A20" s="270" t="s">
        <v>211</v>
      </c>
      <c r="B20" s="271"/>
      <c r="C20" s="271"/>
      <c r="D20" s="271"/>
      <c r="E20" s="271"/>
      <c r="F20" s="271"/>
      <c r="G20" s="271"/>
      <c r="H20" s="271"/>
      <c r="I20" s="39">
        <v>16</v>
      </c>
      <c r="J20" s="41"/>
      <c r="K20" s="41"/>
    </row>
    <row r="21" spans="1:11" ht="15" customHeight="1">
      <c r="A21" s="210" t="s">
        <v>216</v>
      </c>
      <c r="B21" s="272"/>
      <c r="C21" s="272"/>
      <c r="D21" s="272"/>
      <c r="E21" s="272"/>
      <c r="F21" s="272"/>
      <c r="G21" s="272"/>
      <c r="H21" s="272"/>
      <c r="I21" s="39">
        <v>17</v>
      </c>
      <c r="J21" s="122">
        <v>0</v>
      </c>
      <c r="K21" s="122">
        <v>0</v>
      </c>
    </row>
    <row r="22" spans="1:11" ht="15" customHeight="1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5" customHeight="1">
      <c r="A23" s="262" t="s">
        <v>212</v>
      </c>
      <c r="B23" s="263"/>
      <c r="C23" s="263"/>
      <c r="D23" s="263"/>
      <c r="E23" s="263"/>
      <c r="F23" s="263"/>
      <c r="G23" s="263"/>
      <c r="H23" s="263"/>
      <c r="I23" s="42">
        <v>18</v>
      </c>
      <c r="J23" s="40"/>
      <c r="K23" s="40"/>
    </row>
    <row r="24" spans="1:11" ht="15" customHeight="1">
      <c r="A24" s="264" t="s">
        <v>213</v>
      </c>
      <c r="B24" s="265"/>
      <c r="C24" s="265"/>
      <c r="D24" s="265"/>
      <c r="E24" s="265"/>
      <c r="F24" s="265"/>
      <c r="G24" s="265"/>
      <c r="H24" s="265"/>
      <c r="I24" s="43">
        <v>19</v>
      </c>
      <c r="J24" s="67"/>
      <c r="K24" s="67"/>
    </row>
    <row r="25" spans="1:11" ht="30" customHeight="1">
      <c r="A25" s="266" t="s">
        <v>217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</row>
    <row r="28" spans="1:11" ht="20.25" customHeight="1"/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 DATA</vt:lpstr>
      <vt:lpstr>BALANCE SHEET</vt:lpstr>
      <vt:lpstr>P&amp;L</vt:lpstr>
      <vt:lpstr>CASH FLOW</vt:lpstr>
      <vt:lpstr>CHANGES TO CAPITAL</vt:lpstr>
      <vt:lpstr>'CASH FLOW'!Print_Area</vt:lpstr>
      <vt:lpstr>'CHANGES TO CAPITAL'!Print_Area</vt:lpstr>
      <vt:lpstr>'GENERAL DATA'!Print_Area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marica.jakelic</cp:lastModifiedBy>
  <cp:lastPrinted>2011-10-27T07:53:41Z</cp:lastPrinted>
  <dcterms:created xsi:type="dcterms:W3CDTF">2008-10-17T11:51:54Z</dcterms:created>
  <dcterms:modified xsi:type="dcterms:W3CDTF">2011-10-27T08:38:45Z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