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<sst xmlns="http://schemas.openxmlformats.org/spreadsheetml/2006/main" count="397" uniqueCount="345">
  <si>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</si>
  <si>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</si>
  <si>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</si>
  <si>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</si>
  <si>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</si>
  <si>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</si>
  <si>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</si>
  <si>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</si>
  <si>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</si>
  <si>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</si>
  <si>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</si>
  <si>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</si>
  <si>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</si>
  <si>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</si>
  <si>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</si>
  <si>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</si>
  <si>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</si>
  <si>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</si>
  <si>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</si>
  <si>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</si>
  <si>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</si>
  <si>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</si>
  <si>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</si>
  <si>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</si>
  <si>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</si>
  <si>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</si>
  <si>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</si>
  <si>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</si>
  <si>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</si>
  <si>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</si>
  <si>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</si>
  <si>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</si>
  <si>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</si>
  <si>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</si>
  <si>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</si>
  <si>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</si>
  <si>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</si>
  <si>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</si>
  <si>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</si>
  <si>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</si>
  <si>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</si>
  <si>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</si>
  <si>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</si>
  <si>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</si>
  <si>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</si>
  <si>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</si>
  <si>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</si>
  <si>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</si>
  <si>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</si>
  <si>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</si>
  <si>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</si>
  <si>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</si>
  <si>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</si>
  <si>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</si>
  <si>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</si>
  <si>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</si>
  <si>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</si>
  <si>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</si>
  <si>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</si>
  <si>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</si>
  <si>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</si>
  <si>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</si>
  <si>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</si>
  <si>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</si>
  <si>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</si>
  <si>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</si>
  <si>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</si>
  <si>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</si>
  <si>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</si>
  <si>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</si>
  <si>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</si>
  <si>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</si>
  <si>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</si>
  <si>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</si>
  <si>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</si>
  <si>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</si>
  <si>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</si>
  <si>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</si>
  <si>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</si>
  <si>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</si>
  <si>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</si>
  <si>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</si>
  <si>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</si>
  <si>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</si>
  <si>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</si>
  <si>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</si>
  <si>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</si>
  <si>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</si>
  <si>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</si>
  <si>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</si>
  <si>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</si>
  <si>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</si>
  <si>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</si>
  <si>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</si>
  <si>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</si>
  <si>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</si>
  <si>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</si>
  <si>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</si>
  <si>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</si>
  <si>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</si>
  <si>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</si>
  <si>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</si>
  <si>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</si>
  <si>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</si>
  <si>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</si>
  <si>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</si>
  <si>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</si>
  <si>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</si>
  <si>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</si>
  <si>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</si>
  <si>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</si>
  <si>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</si>
  <si>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</si>
  <si>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</si>
  <si>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</si>
  <si>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</si>
  <si>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</si>
  <si>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</si>
  <si>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</si>
  <si>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</si>
  <si>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</si>
  <si>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</si>
  <si>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</si>
  <si>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</si>
  <si>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</si>
  <si>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</si>
  <si>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</si>
  <si>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</si>
  <si>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</si>
  <si>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</si>
  <si>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</si>
  <si>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</si>
  <si>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</si>
  <si>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</si>
  <si>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</si>
  <si>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</si>
  <si>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</si>
  <si>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</si>
  <si>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</si>
  <si>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</si>
  <si>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</si>
  <si>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</si>
  <si>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</si>
  <si>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</si>
  <si>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</si>
  <si>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</si>
  <si>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</si>
  <si>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</si>
  <si>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</si>
  <si>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</si>
  <si>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</si>
  <si>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</si>
  <si>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</si>
  <si>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</si>
  <si>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</si>
  <si>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</si>
  <si>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</si>
  <si>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</si>
  <si>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</si>
  <si>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</si>
  <si>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</si>
  <si>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</si>
  <si>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</si>
  <si>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</si>
  <si>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</si>
  <si>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</si>
  <si>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</si>
  <si>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</si>
  <si>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</si>
  <si>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</si>
  <si>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</si>
  <si>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</si>
  <si>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</si>
  <si>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</si>
  <si>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</si>
  <si>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</si>
  <si>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</si>
  <si>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</si>
  <si>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</si>
  <si>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</si>
  <si>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</si>
  <si>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</si>
  <si>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</si>
  <si>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</si>
  <si>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</si>
  <si>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</si>
  <si>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</si>
  <si>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</si>
  <si>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</si>
  <si>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</si>
  <si>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</si>
  <si>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</si>
  <si>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</si>
  <si>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</si>
  <si>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</si>
  <si>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</si>
  <si>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</si>
  <si>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</si>
  <si>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</si>
  <si>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</si>
  <si>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</si>
  <si>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</si>
  <si>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</si>
  <si>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</si>
  <si>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</si>
  <si>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</si>
  <si>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</si>
  <si>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</si>
  <si>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</si>
  <si>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</si>
  <si>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</si>
  <si>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</si>
  <si>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</si>
  <si>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</si>
  <si>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</si>
  <si>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</si>
  <si>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</si>
  <si>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</si>
  <si>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</si>
  <si>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</si>
  <si>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</si>
  <si>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</si>
  <si>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</si>
  <si>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</si>
  <si>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</si>
  <si>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</si>
  <si>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</si>
  <si>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</si>
  <si>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</si>
  <si>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</si>
  <si>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</si>
  <si>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</si>
  <si>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</si>
  <si>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</si>
  <si>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</si>
  <si>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</si>
  <si>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</si>
  <si>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</si>
  <si>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</si>
  <si>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</si>
  <si>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</si>
  <si>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</si>
  <si>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</si>
  <si>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</si>
  <si>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</si>
  <si>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</si>
  <si>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</si>
  <si>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</si>
  <si>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</si>
  <si>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</si>
  <si>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</si>
  <si>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</si>
  <si>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</si>
  <si>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</si>
  <si>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</si>
  <si>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</si>
  <si>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</si>
  <si>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</si>
  <si>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</si>
  <si>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</si>
  <si>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</si>
  <si>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</si>
  <si>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</si>
  <si>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</si>
  <si>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</si>
  <si>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</si>
  <si>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</si>
  <si>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</si>
  <si>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</si>
  <si>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</si>
  <si>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</si>
  <si>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</si>
  <si>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</si>
  <si>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</si>
  <si>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</si>
  <si>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</si>
  <si>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</si>
  <si>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</si>
  <si>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</si>
  <si>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</si>
  <si>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</si>
  <si>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</si>
  <si>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</si>
  <si>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</si>
  <si>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</si>
  <si>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</si>
  <si>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</si>
  <si>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</si>
  <si>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</si>
  <si>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</si>
  <si>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</si>
  <si>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</si>
  <si>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</si>
  <si>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</si>
  <si>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</si>
  <si>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</si>
  <si>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</si>
  <si>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</si>
  <si>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</si>
  <si>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</si>
  <si>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</si>
  <si>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</si>
  <si>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</si>
  <si>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</si>
  <si>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</si>
  <si>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</si>
  <si>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</si>
  <si>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</si>
  <si>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</si>
  <si>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</si>
  <si>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</si>
  <si>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</si>
  <si>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</si>
  <si>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</si>
  <si>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</si>
  <si>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</si>
  <si>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</si>
  <si>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</si>
  <si>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</si>
  <si>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</si>
  <si>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</si>
  <si>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</si>
  <si>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</si>
  <si>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</si>
  <si>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</si>
  <si>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</si>
  <si>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</si>
  <si>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</si>
  <si>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</si>
  <si>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</si>
  <si>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www.aci-club.hr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</si>
  <si>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</si>
  <si>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</si>
  <si>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</si>
  <si>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</si>
  <si>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</si>
  <si>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</si>
  <si>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</si>
  <si>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31.12.2013.</t>
  </si>
  <si>
    <t>sonja.brajkovic@aci-club.hr</t>
  </si>
  <si>
    <t>BRAJKOVIĆ SONJA</t>
  </si>
  <si>
    <t>PERUČIĆ DORIS</t>
  </si>
  <si>
    <t>stanje na dan 31.12.2013.</t>
  </si>
  <si>
    <t>u razdoblju 01.01.2013. do 31.12.2013.</t>
  </si>
  <si>
    <t>u razdoblju 01.01.2012. do 31.12.2013.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</si>
</sst>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.0"/>
    <numFmt numFmtId="166" formatCode="_-* #,##0.0\ _k_n_-;\-* #,##0.0\ _k_n_-;_-* &quot;-&quot;??\ _k_n_-;_-@_-"/>
    <numFmt numFmtId="167" formatCode="_-* #,##0\ _k_n_-;\-* #,##0\ _k_n_-;_-* &quot;-&quot;??\ _k_n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8" xfId="51" applyFont="1" applyBorder="1" applyAlignment="1" applyProtection="1">
      <alignment/>
      <protection hidden="1"/>
    </xf>
    <xf numFmtId="0" fontId="4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1" applyFont="1" applyBorder="1" applyAlignment="1">
      <alignment/>
      <protection/>
    </xf>
    <xf numFmtId="0" fontId="4" fillId="0" borderId="24" xfId="51" applyFont="1" applyBorder="1" applyAlignment="1">
      <alignment/>
      <protection/>
    </xf>
    <xf numFmtId="0" fontId="4" fillId="0" borderId="25" xfId="51" applyFont="1" applyFill="1" applyBorder="1" applyAlignment="1" applyProtection="1">
      <alignment horizontal="left" vertical="center" wrapText="1"/>
      <protection hidden="1"/>
    </xf>
    <xf numFmtId="0" fontId="4" fillId="0" borderId="16" xfId="51" applyFont="1" applyFill="1" applyBorder="1" applyAlignment="1" applyProtection="1">
      <alignment vertical="center"/>
      <protection hidden="1"/>
    </xf>
    <xf numFmtId="0" fontId="4" fillId="0" borderId="25" xfId="51" applyFont="1" applyBorder="1" applyAlignment="1" applyProtection="1">
      <alignment horizontal="left" vertical="center" wrapText="1"/>
      <protection hidden="1"/>
    </xf>
    <xf numFmtId="0" fontId="4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5" xfId="51" applyFont="1" applyFill="1" applyBorder="1" applyAlignment="1" applyProtection="1">
      <alignment/>
      <protection hidden="1"/>
    </xf>
    <xf numFmtId="0" fontId="4" fillId="0" borderId="25" xfId="51" applyFont="1" applyBorder="1" applyAlignment="1" applyProtection="1">
      <alignment wrapText="1"/>
      <protection hidden="1"/>
    </xf>
    <xf numFmtId="0" fontId="4" fillId="0" borderId="16" xfId="51" applyFont="1" applyBorder="1" applyAlignment="1" applyProtection="1">
      <alignment horizontal="right"/>
      <protection hidden="1"/>
    </xf>
    <xf numFmtId="0" fontId="4" fillId="0" borderId="25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Border="1" applyAlignment="1" applyProtection="1">
      <alignment vertical="top"/>
      <protection hidden="1"/>
    </xf>
    <xf numFmtId="0" fontId="4" fillId="0" borderId="25" xfId="51" applyFont="1" applyBorder="1" applyAlignment="1" applyProtection="1">
      <alignment horizontal="left" vertical="top" wrapText="1"/>
      <protection hidden="1"/>
    </xf>
    <xf numFmtId="0" fontId="4" fillId="0" borderId="16" xfId="51" applyFont="1" applyBorder="1" applyAlignment="1">
      <alignment/>
      <protection/>
    </xf>
    <xf numFmtId="0" fontId="4" fillId="0" borderId="25" xfId="51" applyFont="1" applyBorder="1" applyAlignment="1" applyProtection="1">
      <alignment horizontal="left" vertical="top" indent="2"/>
      <protection hidden="1"/>
    </xf>
    <xf numFmtId="0" fontId="4" fillId="0" borderId="25" xfId="51" applyFont="1" applyBorder="1" applyAlignment="1" applyProtection="1">
      <alignment horizontal="left" vertical="top" wrapText="1" indent="2"/>
      <protection hidden="1"/>
    </xf>
    <xf numFmtId="0" fontId="4" fillId="0" borderId="16" xfId="51" applyFont="1" applyBorder="1" applyAlignment="1" applyProtection="1">
      <alignment horizontal="right" vertical="top"/>
      <protection hidden="1"/>
    </xf>
    <xf numFmtId="49" fontId="3" fillId="0" borderId="25" xfId="51" applyNumberFormat="1" applyFont="1" applyBorder="1" applyAlignment="1" applyProtection="1">
      <alignment horizontal="center" vertical="center"/>
      <protection hidden="1" locked="0"/>
    </xf>
    <xf numFmtId="0" fontId="4" fillId="0" borderId="16" xfId="51" applyFont="1" applyBorder="1" applyAlignment="1" applyProtection="1">
      <alignment horizontal="left" vertical="top"/>
      <protection hidden="1"/>
    </xf>
    <xf numFmtId="0" fontId="4" fillId="0" borderId="25" xfId="51" applyFont="1" applyBorder="1" applyAlignment="1" applyProtection="1">
      <alignment horizontal="left"/>
      <protection hidden="1"/>
    </xf>
    <xf numFmtId="0" fontId="4" fillId="0" borderId="24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left"/>
      <protection hidden="1"/>
    </xf>
    <xf numFmtId="0" fontId="4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16" xfId="51" applyFont="1" applyBorder="1" applyAlignment="1" applyProtection="1">
      <alignment vertical="center"/>
      <protection hidden="1"/>
    </xf>
    <xf numFmtId="0" fontId="4" fillId="0" borderId="26" xfId="51" applyFont="1" applyBorder="1" applyAlignment="1" applyProtection="1">
      <alignment/>
      <protection hidden="1"/>
    </xf>
    <xf numFmtId="0" fontId="4" fillId="0" borderId="27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/>
      <protection hidden="1"/>
    </xf>
    <xf numFmtId="0" fontId="4" fillId="0" borderId="29" xfId="51" applyFont="1" applyFill="1" applyBorder="1" applyAlignment="1" applyProtection="1">
      <alignment/>
      <protection hidden="1"/>
    </xf>
    <xf numFmtId="14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1" applyFont="1" applyFill="1" applyBorder="1" applyAlignment="1" applyProtection="1">
      <alignment horizontal="center" vertical="center"/>
      <protection hidden="1" locked="0"/>
    </xf>
    <xf numFmtId="49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" fillId="0" borderId="30" xfId="51" applyFont="1" applyBorder="1" applyAlignment="1" applyProtection="1">
      <alignment horizontal="center" vertical="top"/>
      <protection hidden="1"/>
    </xf>
    <xf numFmtId="0" fontId="4" fillId="0" borderId="30" xfId="51" applyFont="1" applyBorder="1" applyAlignment="1">
      <alignment horizontal="center"/>
      <protection/>
    </xf>
    <xf numFmtId="0" fontId="4" fillId="0" borderId="31" xfId="51" applyFont="1" applyBorder="1" applyAlignment="1">
      <alignment/>
      <protection/>
    </xf>
    <xf numFmtId="0" fontId="4" fillId="0" borderId="28" xfId="51" applyFont="1" applyFill="1" applyBorder="1" applyAlignment="1" applyProtection="1">
      <alignment horizontal="center" vertical="top"/>
      <protection hidden="1"/>
    </xf>
    <xf numFmtId="0" fontId="4" fillId="0" borderId="28" xfId="51" applyFont="1" applyFill="1" applyBorder="1" applyAlignment="1" applyProtection="1">
      <alignment horizontal="center"/>
      <protection hidden="1"/>
    </xf>
    <xf numFmtId="0" fontId="4" fillId="0" borderId="16" xfId="51" applyFont="1" applyBorder="1" applyAlignment="1" applyProtection="1">
      <alignment horizontal="right" vertical="center" wrapText="1"/>
      <protection hidden="1"/>
    </xf>
    <xf numFmtId="0" fontId="4" fillId="0" borderId="25" xfId="51" applyFont="1" applyBorder="1" applyAlignment="1" applyProtection="1">
      <alignment horizontal="right" wrapText="1"/>
      <protection hidden="1"/>
    </xf>
    <xf numFmtId="49" fontId="5" fillId="0" borderId="27" xfId="35" applyNumberFormat="1" applyFill="1" applyBorder="1" applyAlignment="1" applyProtection="1">
      <alignment horizontal="left" vertical="center"/>
      <protection hidden="1" locked="0"/>
    </xf>
    <xf numFmtId="49" fontId="3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1" applyNumberFormat="1" applyFont="1" applyFill="1" applyBorder="1" applyAlignment="1" applyProtection="1">
      <alignment horizontal="left" vertical="center"/>
      <protection hidden="1" locked="0"/>
    </xf>
    <xf numFmtId="0" fontId="4" fillId="0" borderId="16" xfId="51" applyFont="1" applyBorder="1" applyAlignment="1" applyProtection="1">
      <alignment horizontal="right" vertical="center"/>
      <protection hidden="1"/>
    </xf>
    <xf numFmtId="0" fontId="4" fillId="0" borderId="25" xfId="51" applyFont="1" applyBorder="1" applyAlignment="1" applyProtection="1">
      <alignment horizontal="right"/>
      <protection hidden="1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0" fontId="4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Fill="1" applyBorder="1" applyAlignment="1">
      <alignment/>
      <protection/>
    </xf>
    <xf numFmtId="0" fontId="4" fillId="0" borderId="29" xfId="51" applyFont="1" applyFill="1" applyBorder="1" applyAlignment="1">
      <alignment/>
      <protection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17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right" vertical="center"/>
      <protection hidden="1" locked="0"/>
    </xf>
    <xf numFmtId="0" fontId="4" fillId="0" borderId="28" xfId="51" applyFont="1" applyFill="1" applyBorder="1" applyAlignment="1">
      <alignment horizontal="left"/>
      <protection/>
    </xf>
    <xf numFmtId="0" fontId="4" fillId="0" borderId="29" xfId="51" applyFont="1" applyFill="1" applyBorder="1" applyAlignment="1">
      <alignment horizontal="left"/>
      <protection/>
    </xf>
    <xf numFmtId="0" fontId="5" fillId="0" borderId="27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 applyProtection="1">
      <alignment/>
      <protection hidden="1" locked="0"/>
    </xf>
    <xf numFmtId="0" fontId="3" fillId="0" borderId="29" xfId="51" applyFont="1" applyFill="1" applyBorder="1" applyAlignment="1" applyProtection="1">
      <alignment/>
      <protection hidden="1" locked="0"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6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4" fillId="0" borderId="28" xfId="51" applyFont="1" applyFill="1" applyBorder="1" applyAlignment="1">
      <alignment horizontal="left" vertical="center"/>
      <protection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2" fillId="0" borderId="16" xfId="51" applyFont="1" applyBorder="1" applyAlignment="1" applyProtection="1">
      <alignment horizontal="right" vertical="center" wrapText="1"/>
      <protection hidden="1"/>
    </xf>
    <xf numFmtId="0" fontId="2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ja.brajkovic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onja.brajkovi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G54" sqref="G5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248</v>
      </c>
      <c r="B1" s="162"/>
      <c r="C1" s="16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6" t="s">
        <v>249</v>
      </c>
      <c r="B2" s="197"/>
      <c r="C2" s="197"/>
      <c r="D2" s="198"/>
      <c r="E2" s="120" t="s">
        <v>323</v>
      </c>
      <c r="F2" s="12"/>
      <c r="G2" s="13" t="s">
        <v>250</v>
      </c>
      <c r="H2" s="120" t="s">
        <v>338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99" t="s">
        <v>317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2" t="s">
        <v>251</v>
      </c>
      <c r="B6" s="153"/>
      <c r="C6" s="164" t="s">
        <v>324</v>
      </c>
      <c r="D6" s="16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2" t="s">
        <v>252</v>
      </c>
      <c r="B8" s="203"/>
      <c r="C8" s="164" t="s">
        <v>325</v>
      </c>
      <c r="D8" s="16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7" t="s">
        <v>253</v>
      </c>
      <c r="B10" s="192"/>
      <c r="C10" s="164" t="s">
        <v>326</v>
      </c>
      <c r="D10" s="16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2" t="s">
        <v>254</v>
      </c>
      <c r="B12" s="153"/>
      <c r="C12" s="166" t="s">
        <v>327</v>
      </c>
      <c r="D12" s="191"/>
      <c r="E12" s="191"/>
      <c r="F12" s="191"/>
      <c r="G12" s="191"/>
      <c r="H12" s="191"/>
      <c r="I12" s="15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2" t="s">
        <v>255</v>
      </c>
      <c r="B14" s="153"/>
      <c r="C14" s="194">
        <v>51410</v>
      </c>
      <c r="D14" s="195"/>
      <c r="E14" s="16"/>
      <c r="F14" s="166" t="s">
        <v>328</v>
      </c>
      <c r="G14" s="191"/>
      <c r="H14" s="191"/>
      <c r="I14" s="15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2" t="s">
        <v>256</v>
      </c>
      <c r="B16" s="153"/>
      <c r="C16" s="166" t="s">
        <v>329</v>
      </c>
      <c r="D16" s="191"/>
      <c r="E16" s="191"/>
      <c r="F16" s="191"/>
      <c r="G16" s="191"/>
      <c r="H16" s="191"/>
      <c r="I16" s="15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2" t="s">
        <v>257</v>
      </c>
      <c r="B18" s="153"/>
      <c r="C18" s="177" t="s">
        <v>339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2" t="s">
        <v>258</v>
      </c>
      <c r="B20" s="153"/>
      <c r="C20" s="177" t="s">
        <v>330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2" t="s">
        <v>259</v>
      </c>
      <c r="B22" s="153"/>
      <c r="C22" s="121">
        <v>302</v>
      </c>
      <c r="D22" s="166" t="s">
        <v>328</v>
      </c>
      <c r="E22" s="175"/>
      <c r="F22" s="176"/>
      <c r="G22" s="152"/>
      <c r="H22" s="18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2" t="s">
        <v>260</v>
      </c>
      <c r="B24" s="153"/>
      <c r="C24" s="121">
        <v>8</v>
      </c>
      <c r="D24" s="166" t="s">
        <v>331</v>
      </c>
      <c r="E24" s="175"/>
      <c r="F24" s="175"/>
      <c r="G24" s="176"/>
      <c r="H24" s="51" t="s">
        <v>261</v>
      </c>
      <c r="I24" s="122">
        <v>367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2" t="s">
        <v>262</v>
      </c>
      <c r="B26" s="153"/>
      <c r="C26" s="123" t="s">
        <v>332</v>
      </c>
      <c r="D26" s="25"/>
      <c r="E26" s="33"/>
      <c r="F26" s="24"/>
      <c r="G26" s="183" t="s">
        <v>263</v>
      </c>
      <c r="H26" s="153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84" t="s">
        <v>264</v>
      </c>
      <c r="B28" s="185"/>
      <c r="C28" s="186"/>
      <c r="D28" s="186"/>
      <c r="E28" s="187" t="s">
        <v>265</v>
      </c>
      <c r="F28" s="188"/>
      <c r="G28" s="188"/>
      <c r="H28" s="189" t="s">
        <v>266</v>
      </c>
      <c r="I28" s="19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4"/>
      <c r="B30" s="167"/>
      <c r="C30" s="167"/>
      <c r="D30" s="168"/>
      <c r="E30" s="174"/>
      <c r="F30" s="167"/>
      <c r="G30" s="167"/>
      <c r="H30" s="164"/>
      <c r="I30" s="165"/>
      <c r="J30" s="10"/>
      <c r="K30" s="10"/>
      <c r="L30" s="10"/>
    </row>
    <row r="31" spans="1:12" ht="12.75">
      <c r="A31" s="94"/>
      <c r="B31" s="22"/>
      <c r="C31" s="21"/>
      <c r="D31" s="181"/>
      <c r="E31" s="181"/>
      <c r="F31" s="181"/>
      <c r="G31" s="182"/>
      <c r="H31" s="16"/>
      <c r="I31" s="101"/>
      <c r="J31" s="10"/>
      <c r="K31" s="10"/>
      <c r="L31" s="10"/>
    </row>
    <row r="32" spans="1:12" ht="12.75">
      <c r="A32" s="174"/>
      <c r="B32" s="167"/>
      <c r="C32" s="167"/>
      <c r="D32" s="168"/>
      <c r="E32" s="174"/>
      <c r="F32" s="167"/>
      <c r="G32" s="167"/>
      <c r="H32" s="164"/>
      <c r="I32" s="16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4"/>
      <c r="B34" s="167"/>
      <c r="C34" s="167"/>
      <c r="D34" s="168"/>
      <c r="E34" s="174"/>
      <c r="F34" s="167"/>
      <c r="G34" s="167"/>
      <c r="H34" s="164"/>
      <c r="I34" s="16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4"/>
      <c r="B36" s="167"/>
      <c r="C36" s="167"/>
      <c r="D36" s="168"/>
      <c r="E36" s="174"/>
      <c r="F36" s="167"/>
      <c r="G36" s="167"/>
      <c r="H36" s="164"/>
      <c r="I36" s="165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74"/>
      <c r="B38" s="167"/>
      <c r="C38" s="167"/>
      <c r="D38" s="168"/>
      <c r="E38" s="174"/>
      <c r="F38" s="167"/>
      <c r="G38" s="167"/>
      <c r="H38" s="164"/>
      <c r="I38" s="16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4"/>
      <c r="B40" s="167"/>
      <c r="C40" s="167"/>
      <c r="D40" s="168"/>
      <c r="E40" s="174"/>
      <c r="F40" s="167"/>
      <c r="G40" s="167"/>
      <c r="H40" s="164"/>
      <c r="I40" s="16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7" t="s">
        <v>267</v>
      </c>
      <c r="B44" s="148"/>
      <c r="C44" s="164"/>
      <c r="D44" s="165"/>
      <c r="E44" s="26"/>
      <c r="F44" s="166"/>
      <c r="G44" s="167"/>
      <c r="H44" s="167"/>
      <c r="I44" s="168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47" t="s">
        <v>268</v>
      </c>
      <c r="B46" s="148"/>
      <c r="C46" s="166" t="s">
        <v>340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7" t="s">
        <v>270</v>
      </c>
      <c r="B48" s="148"/>
      <c r="C48" s="154" t="s">
        <v>334</v>
      </c>
      <c r="D48" s="150"/>
      <c r="E48" s="151"/>
      <c r="F48" s="16"/>
      <c r="G48" s="51" t="s">
        <v>271</v>
      </c>
      <c r="H48" s="154" t="s">
        <v>335</v>
      </c>
      <c r="I48" s="15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7" t="s">
        <v>257</v>
      </c>
      <c r="B50" s="148"/>
      <c r="C50" s="149" t="s">
        <v>339</v>
      </c>
      <c r="D50" s="150"/>
      <c r="E50" s="150"/>
      <c r="F50" s="150"/>
      <c r="G50" s="150"/>
      <c r="H50" s="150"/>
      <c r="I50" s="15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2" t="s">
        <v>272</v>
      </c>
      <c r="B52" s="153"/>
      <c r="C52" s="154" t="s">
        <v>341</v>
      </c>
      <c r="D52" s="150"/>
      <c r="E52" s="150"/>
      <c r="F52" s="150"/>
      <c r="G52" s="150"/>
      <c r="H52" s="150"/>
      <c r="I52" s="155"/>
      <c r="J52" s="10"/>
      <c r="K52" s="10"/>
      <c r="L52" s="10"/>
    </row>
    <row r="53" spans="1:12" ht="12.75">
      <c r="A53" s="108"/>
      <c r="B53" s="20"/>
      <c r="C53" s="163" t="s">
        <v>273</v>
      </c>
      <c r="D53" s="163"/>
      <c r="E53" s="163"/>
      <c r="F53" s="163"/>
      <c r="G53" s="163"/>
      <c r="H53" s="16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6" t="s">
        <v>274</v>
      </c>
      <c r="C55" s="157"/>
      <c r="D55" s="157"/>
      <c r="E55" s="15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8" t="s">
        <v>306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ht="12.75">
      <c r="A57" s="108"/>
      <c r="B57" s="158" t="s">
        <v>307</v>
      </c>
      <c r="C57" s="159"/>
      <c r="D57" s="159"/>
      <c r="E57" s="159"/>
      <c r="F57" s="159"/>
      <c r="G57" s="159"/>
      <c r="H57" s="159"/>
      <c r="I57" s="110"/>
      <c r="J57" s="10"/>
      <c r="K57" s="10"/>
      <c r="L57" s="10"/>
    </row>
    <row r="58" spans="1:12" ht="12.75">
      <c r="A58" s="108"/>
      <c r="B58" s="158" t="s">
        <v>308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ht="12.75">
      <c r="A59" s="108"/>
      <c r="B59" s="158" t="s">
        <v>309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2" t="s">
        <v>277</v>
      </c>
      <c r="H62" s="143"/>
      <c r="I62" s="14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45"/>
      <c r="H63" s="14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6:B26"/>
    <mergeCell ref="G26:H26"/>
    <mergeCell ref="A28:D28"/>
    <mergeCell ref="E28:G28"/>
    <mergeCell ref="H28:I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H30:I30"/>
    <mergeCell ref="E38:G38"/>
    <mergeCell ref="D31:G31"/>
    <mergeCell ref="A32:D32"/>
    <mergeCell ref="E32:G32"/>
    <mergeCell ref="H32:I32"/>
    <mergeCell ref="H38:I38"/>
    <mergeCell ref="H34:I34"/>
    <mergeCell ref="A36:D36"/>
    <mergeCell ref="E36:G36"/>
    <mergeCell ref="H36:I36"/>
    <mergeCell ref="A24:B24"/>
    <mergeCell ref="D24:G24"/>
    <mergeCell ref="A34:D34"/>
    <mergeCell ref="E34:G34"/>
    <mergeCell ref="A30:D30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onja.brajkovic@aci-club.hr"/>
    <hyperlink ref="C20" r:id="rId2" display="www.aci-club.hr"/>
    <hyperlink ref="C50" r:id="rId3" display="sonja.brajkovi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3">
      <selection activeCell="J77" sqref="J77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2" width="11.28125" style="52" bestFit="1" customWidth="1"/>
    <col min="13" max="13" width="11.8515625" style="52" bestFit="1" customWidth="1"/>
    <col min="14" max="16384" width="9.140625" style="52" customWidth="1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336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59</v>
      </c>
      <c r="B4" s="210"/>
      <c r="C4" s="210"/>
      <c r="D4" s="210"/>
      <c r="E4" s="210"/>
      <c r="F4" s="210"/>
      <c r="G4" s="210"/>
      <c r="H4" s="211"/>
      <c r="I4" s="58" t="s">
        <v>278</v>
      </c>
      <c r="J4" s="59" t="s">
        <v>319</v>
      </c>
      <c r="K4" s="60" t="s">
        <v>320</v>
      </c>
    </row>
    <row r="5" spans="1:11" ht="12.75">
      <c r="A5" s="215">
        <v>1</v>
      </c>
      <c r="B5" s="215"/>
      <c r="C5" s="215"/>
      <c r="D5" s="215"/>
      <c r="E5" s="215"/>
      <c r="F5" s="215"/>
      <c r="G5" s="215"/>
      <c r="H5" s="215"/>
      <c r="I5" s="57">
        <v>2</v>
      </c>
      <c r="J5" s="56">
        <v>3</v>
      </c>
      <c r="K5" s="56">
        <v>4</v>
      </c>
    </row>
    <row r="6" spans="1:11" ht="12.7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1" ht="12.75">
      <c r="A7" s="219" t="s">
        <v>60</v>
      </c>
      <c r="B7" s="220"/>
      <c r="C7" s="220"/>
      <c r="D7" s="220"/>
      <c r="E7" s="220"/>
      <c r="F7" s="220"/>
      <c r="G7" s="220"/>
      <c r="H7" s="221"/>
      <c r="I7" s="3">
        <v>1</v>
      </c>
      <c r="J7" s="6">
        <v>0</v>
      </c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128">
        <f>J9+J16+J26+J35+J39</f>
        <v>483039910</v>
      </c>
      <c r="K8" s="128">
        <f>K9+K16+K26+K35+K39</f>
        <v>438304782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128">
        <f>SUM(J10:J15)</f>
        <v>25610255</v>
      </c>
      <c r="K9" s="128">
        <f>SUM(K10:K15)</f>
        <v>27574423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24278231</v>
      </c>
      <c r="K11" s="7">
        <v>22701567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0</v>
      </c>
      <c r="K12" s="7">
        <v>0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0</v>
      </c>
      <c r="K13" s="7">
        <v>0</v>
      </c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1332024</v>
      </c>
      <c r="K14" s="7">
        <v>4872856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0</v>
      </c>
      <c r="K15" s="7">
        <v>0</v>
      </c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8">
        <f>SUM(J17:J25)</f>
        <v>457289761</v>
      </c>
      <c r="K16" s="128">
        <f>SUM(K17:K25)</f>
        <v>410589572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17142651</v>
      </c>
      <c r="K17" s="7">
        <v>17142651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278506980</v>
      </c>
      <c r="K18" s="7">
        <v>257469736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38553891</v>
      </c>
      <c r="K19" s="7">
        <v>33633407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33861618</v>
      </c>
      <c r="K20" s="7">
        <v>29445689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>
        <v>0</v>
      </c>
      <c r="K21" s="7">
        <v>0</v>
      </c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597790</v>
      </c>
      <c r="K22" s="7">
        <v>233051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6778460</v>
      </c>
      <c r="K23" s="7">
        <v>9831097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915614</v>
      </c>
      <c r="K24" s="7">
        <v>756895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80932757</v>
      </c>
      <c r="K25" s="7">
        <v>62077046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8">
        <f>SUM(J27:J34)</f>
        <v>139894</v>
      </c>
      <c r="K26" s="128">
        <f>SUM(K27:K34)</f>
        <v>140787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0</v>
      </c>
      <c r="K27" s="7">
        <v>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0</v>
      </c>
      <c r="K28" s="7">
        <v>0</v>
      </c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0</v>
      </c>
      <c r="K29" s="7">
        <v>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>
        <v>0</v>
      </c>
      <c r="K30" s="7">
        <v>0</v>
      </c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37059</v>
      </c>
      <c r="K31" s="7">
        <v>37059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102835</v>
      </c>
      <c r="K32" s="7">
        <v>103728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0</v>
      </c>
      <c r="K33" s="7">
        <v>0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0</v>
      </c>
      <c r="K34" s="7">
        <v>0</v>
      </c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8">
        <f>SUM(J36:J38)</f>
        <v>0</v>
      </c>
      <c r="K35" s="128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0</v>
      </c>
      <c r="K36" s="7">
        <v>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0</v>
      </c>
      <c r="K37" s="7">
        <v>0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0</v>
      </c>
      <c r="K38" s="7">
        <v>0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0</v>
      </c>
      <c r="K39" s="7">
        <v>0</v>
      </c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128">
        <f>J41+J49+J56+J64</f>
        <v>64404072</v>
      </c>
      <c r="K40" s="128">
        <f>K41+K49+K56+K64</f>
        <v>131459702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8">
        <f>SUM(J42:J48)</f>
        <v>1655431</v>
      </c>
      <c r="K41" s="128">
        <f>SUM(K42:K48)</f>
        <v>1395811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136057</v>
      </c>
      <c r="K42" s="7">
        <v>283235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0</v>
      </c>
      <c r="K43" s="7">
        <v>0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0</v>
      </c>
      <c r="K44" s="7">
        <v>0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1003923</v>
      </c>
      <c r="K45" s="7">
        <v>675641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515451</v>
      </c>
      <c r="K46" s="7">
        <v>436935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0</v>
      </c>
      <c r="K47" s="7">
        <v>0</v>
      </c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>
        <v>0</v>
      </c>
      <c r="K48" s="7">
        <v>0</v>
      </c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8">
        <f>SUM(J50:J55)</f>
        <v>8393340</v>
      </c>
      <c r="K49" s="128">
        <f>SUM(K50:K55)</f>
        <v>12100941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0</v>
      </c>
      <c r="K50" s="7">
        <v>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4537086</v>
      </c>
      <c r="K51" s="7">
        <v>3021192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>
        <v>0</v>
      </c>
      <c r="K52" s="7">
        <v>0</v>
      </c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175386</v>
      </c>
      <c r="K53" s="7">
        <v>46223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f>6606486-5397162</f>
        <v>1209324</v>
      </c>
      <c r="K54" s="7">
        <v>6285477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2471544</v>
      </c>
      <c r="K55" s="7">
        <v>2748049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8">
        <f>SUM(J57:J63)</f>
        <v>52891814</v>
      </c>
      <c r="K56" s="128">
        <f>SUM(K57:K63)</f>
        <v>116151028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>
        <v>0</v>
      </c>
      <c r="K57" s="7">
        <v>0</v>
      </c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0</v>
      </c>
      <c r="K58" s="7">
        <v>0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>
        <v>72446</v>
      </c>
      <c r="K59" s="7">
        <v>58855</v>
      </c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>
        <v>0</v>
      </c>
      <c r="K60" s="7">
        <v>0</v>
      </c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0</v>
      </c>
      <c r="K61" s="7">
        <v>0</v>
      </c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52819368</v>
      </c>
      <c r="K62" s="7">
        <v>116092173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0</v>
      </c>
      <c r="K63" s="7">
        <v>0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1463487</v>
      </c>
      <c r="K64" s="7">
        <v>1811922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3349479</v>
      </c>
      <c r="K65" s="7">
        <v>6797415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128">
        <f>J7+J8+J40+J65</f>
        <v>550793461</v>
      </c>
      <c r="K66" s="128">
        <f>K7+K8+K40+K65</f>
        <v>576561899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9" t="s">
        <v>191</v>
      </c>
      <c r="B69" s="220"/>
      <c r="C69" s="220"/>
      <c r="D69" s="220"/>
      <c r="E69" s="220"/>
      <c r="F69" s="220"/>
      <c r="G69" s="220"/>
      <c r="H69" s="221"/>
      <c r="I69" s="3">
        <v>62</v>
      </c>
      <c r="J69" s="129">
        <f>J70+J71+J72+J78+J79+J82+J85</f>
        <v>442636376</v>
      </c>
      <c r="K69" s="129">
        <f>K70+K71+K72+K78+K79+K82+K85</f>
        <v>453981846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399816000</v>
      </c>
      <c r="K70" s="7">
        <v>399816000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0</v>
      </c>
      <c r="K71" s="7">
        <v>0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8">
        <f>J73+J74-J75+J76+J77</f>
        <v>19990800</v>
      </c>
      <c r="K72" s="128">
        <f>K73+K74-K75+K76+K77</f>
        <v>19990800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19990800</v>
      </c>
      <c r="K73" s="7">
        <v>19990800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0</v>
      </c>
      <c r="K74" s="7">
        <v>0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0</v>
      </c>
      <c r="K75" s="7">
        <v>0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>
        <v>0</v>
      </c>
      <c r="K76" s="7">
        <v>0</v>
      </c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0</v>
      </c>
      <c r="K77" s="7">
        <v>0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0</v>
      </c>
      <c r="K78" s="7">
        <v>0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128">
        <f>J80-J81</f>
        <v>3450440</v>
      </c>
      <c r="K79" s="128">
        <f>K80-K81</f>
        <v>22829576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3450440</v>
      </c>
      <c r="K80" s="7">
        <v>22829576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0</v>
      </c>
      <c r="K81" s="7">
        <v>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128">
        <f>J83-J84</f>
        <v>19379136</v>
      </c>
      <c r="K82" s="128">
        <f>K83-K84</f>
        <v>11345470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f>24776298-5397162</f>
        <v>19379136</v>
      </c>
      <c r="K83" s="7">
        <f>14181837-2836367</f>
        <v>11345470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v>0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0</v>
      </c>
      <c r="K85" s="7">
        <v>0</v>
      </c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128">
        <f>SUM(J87:J89)</f>
        <v>18118097</v>
      </c>
      <c r="K86" s="128">
        <f>SUM(K87:K89)</f>
        <v>17439947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0</v>
      </c>
      <c r="K87" s="7">
        <v>0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>
        <v>0</v>
      </c>
      <c r="K88" s="7">
        <v>0</v>
      </c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18118097</v>
      </c>
      <c r="K89" s="7">
        <v>17439947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128">
        <f>SUM(J91:J99)</f>
        <v>27227380</v>
      </c>
      <c r="K90" s="128">
        <f>SUM(K91:K99)</f>
        <v>26369947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0</v>
      </c>
      <c r="K91" s="7">
        <v>0</v>
      </c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0</v>
      </c>
      <c r="K92" s="7">
        <v>0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7348795</v>
      </c>
      <c r="K93" s="7">
        <v>4958943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>
        <v>0</v>
      </c>
      <c r="K94" s="7">
        <v>0</v>
      </c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0</v>
      </c>
      <c r="K95" s="7">
        <v>0</v>
      </c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>
        <v>0</v>
      </c>
      <c r="K96" s="7">
        <v>0</v>
      </c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>
        <v>0</v>
      </c>
      <c r="K97" s="7">
        <v>0</v>
      </c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19878585</v>
      </c>
      <c r="K98" s="7">
        <v>21411004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0</v>
      </c>
      <c r="K99" s="7">
        <v>0</v>
      </c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128">
        <f>SUM(J101:J112)</f>
        <v>14601147</v>
      </c>
      <c r="K100" s="128">
        <f>SUM(K101:K112)</f>
        <v>18444818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0</v>
      </c>
      <c r="K101" s="7">
        <v>0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0</v>
      </c>
      <c r="K102" s="7">
        <v>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2449598</v>
      </c>
      <c r="K103" s="7">
        <v>2479471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0</v>
      </c>
      <c r="K104" s="7">
        <v>0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5744595</v>
      </c>
      <c r="K105" s="7">
        <v>5473923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0</v>
      </c>
      <c r="K106" s="7">
        <v>0</v>
      </c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>
        <v>0</v>
      </c>
      <c r="K107" s="7">
        <v>0</v>
      </c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2429128</v>
      </c>
      <c r="K108" s="7">
        <f>2572916</f>
        <v>2572916</v>
      </c>
    </row>
    <row r="109" spans="1:13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3802149</v>
      </c>
      <c r="K109" s="7">
        <f>4998058+2836367</f>
        <v>7834425</v>
      </c>
      <c r="M109" s="132"/>
    </row>
    <row r="110" spans="1:13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0</v>
      </c>
      <c r="K110" s="7">
        <v>0</v>
      </c>
      <c r="M110" s="132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>
        <v>0</v>
      </c>
      <c r="K111" s="7">
        <v>0</v>
      </c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175677</v>
      </c>
      <c r="K112" s="7">
        <v>84083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f>4069300+44141161</f>
        <v>48210461</v>
      </c>
      <c r="K113" s="7">
        <v>60325341</v>
      </c>
    </row>
    <row r="114" spans="1:12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128">
        <f>J69+J86+J90+J100+J113</f>
        <v>550793461</v>
      </c>
      <c r="K114" s="128">
        <f>K69+K86+K90+K100+K113</f>
        <v>576561899</v>
      </c>
      <c r="L114" s="131"/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/>
      <c r="K115" s="8"/>
    </row>
    <row r="116" spans="1:11" ht="12.75">
      <c r="A116" s="231" t="s">
        <v>310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42"/>
      <c r="J117" s="242"/>
      <c r="K117" s="243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</row>
    <row r="120" spans="1:11" ht="12.75">
      <c r="A120" s="244" t="s">
        <v>311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13:H113"/>
    <mergeCell ref="A114:H114"/>
    <mergeCell ref="A119:H119"/>
    <mergeCell ref="A104:H104"/>
    <mergeCell ref="A111:H111"/>
    <mergeCell ref="A112:H112"/>
    <mergeCell ref="A105:H105"/>
    <mergeCell ref="A106:H106"/>
    <mergeCell ref="A107:H107"/>
    <mergeCell ref="A108:H108"/>
    <mergeCell ref="A120:K120"/>
    <mergeCell ref="A97:H97"/>
    <mergeCell ref="A98:H98"/>
    <mergeCell ref="A99:H99"/>
    <mergeCell ref="A100:H100"/>
    <mergeCell ref="A109:H109"/>
    <mergeCell ref="A110:H110"/>
    <mergeCell ref="A101:H101"/>
    <mergeCell ref="A102:H102"/>
    <mergeCell ref="A103:H103"/>
    <mergeCell ref="A93:H93"/>
    <mergeCell ref="A85:H85"/>
    <mergeCell ref="A86:H86"/>
    <mergeCell ref="A87:H87"/>
    <mergeCell ref="A88:H88"/>
    <mergeCell ref="A121:K121"/>
    <mergeCell ref="A115:H115"/>
    <mergeCell ref="A116:K116"/>
    <mergeCell ref="A117:K117"/>
    <mergeCell ref="A118:H118"/>
    <mergeCell ref="A74:H74"/>
    <mergeCell ref="A75:H75"/>
    <mergeCell ref="A76:H76"/>
    <mergeCell ref="A94:H94"/>
    <mergeCell ref="A95:H95"/>
    <mergeCell ref="A96:H96"/>
    <mergeCell ref="A89:H89"/>
    <mergeCell ref="A90:H90"/>
    <mergeCell ref="A91:H91"/>
    <mergeCell ref="A92:H92"/>
    <mergeCell ref="A84:H84"/>
    <mergeCell ref="A72:H72"/>
    <mergeCell ref="A65:H65"/>
    <mergeCell ref="A66:H66"/>
    <mergeCell ref="A67:H67"/>
    <mergeCell ref="A68:K68"/>
    <mergeCell ref="A77:H77"/>
    <mergeCell ref="A69:H69"/>
    <mergeCell ref="A70:H70"/>
    <mergeCell ref="A71:H71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63:H63"/>
    <mergeCell ref="A64:H64"/>
    <mergeCell ref="A57:H57"/>
    <mergeCell ref="A58:H58"/>
    <mergeCell ref="A59:H59"/>
    <mergeCell ref="A60:H60"/>
    <mergeCell ref="A61:H61"/>
    <mergeCell ref="A62:H62"/>
    <mergeCell ref="A52:H52"/>
    <mergeCell ref="A53:H53"/>
    <mergeCell ref="A45:H45"/>
    <mergeCell ref="A46:H46"/>
    <mergeCell ref="A47:H47"/>
    <mergeCell ref="A48:H48"/>
    <mergeCell ref="A35:H35"/>
    <mergeCell ref="A36:H36"/>
    <mergeCell ref="A49:H49"/>
    <mergeCell ref="A50:H50"/>
    <mergeCell ref="A51:H51"/>
    <mergeCell ref="A44:H44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23:H23"/>
    <mergeCell ref="A24:H24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5:H5"/>
    <mergeCell ref="A6:K6"/>
    <mergeCell ref="A7:H7"/>
    <mergeCell ref="A8:H8"/>
    <mergeCell ref="A1:K1"/>
    <mergeCell ref="A2:K2"/>
    <mergeCell ref="A3:K3"/>
    <mergeCell ref="A4:H4"/>
    <mergeCell ref="A9:H9"/>
    <mergeCell ref="A10:H1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L10" sqref="L1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5.00390625" style="52" customWidth="1"/>
    <col min="15" max="16384" width="9.140625" style="52" customWidth="1"/>
  </cols>
  <sheetData>
    <row r="1" spans="1:14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33"/>
    </row>
    <row r="2" spans="1:14" ht="12.75" customHeight="1">
      <c r="A2" s="252" t="s">
        <v>343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134"/>
    </row>
    <row r="3" spans="1:14" ht="12.75" customHeight="1">
      <c r="A3" s="249" t="s">
        <v>336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36"/>
    </row>
    <row r="4" spans="1:14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  <c r="N4" s="137"/>
    </row>
    <row r="5" spans="1:14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  <c r="N5" s="137"/>
    </row>
    <row r="6" spans="1:14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  <c r="N6" s="137"/>
    </row>
    <row r="7" spans="1:14" ht="12.75">
      <c r="A7" s="219" t="s">
        <v>26</v>
      </c>
      <c r="B7" s="220"/>
      <c r="C7" s="220"/>
      <c r="D7" s="220"/>
      <c r="E7" s="220"/>
      <c r="F7" s="220"/>
      <c r="G7" s="220"/>
      <c r="H7" s="221"/>
      <c r="I7" s="3">
        <v>111</v>
      </c>
      <c r="J7" s="129">
        <f>SUM(J8:J9)</f>
        <v>196856913</v>
      </c>
      <c r="K7" s="54">
        <f>SUM(K8:K9)</f>
        <v>36344941</v>
      </c>
      <c r="L7" s="129">
        <f>SUM(L8:L9)</f>
        <v>197643196</v>
      </c>
      <c r="M7" s="54">
        <f>SUM(M8:M9)</f>
        <v>39874996</v>
      </c>
      <c r="N7" s="138"/>
    </row>
    <row r="8" spans="1:14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175517843</v>
      </c>
      <c r="K8" s="7">
        <f>+J8-144052995</f>
        <v>31464848</v>
      </c>
      <c r="L8" s="7">
        <v>175284656</v>
      </c>
      <c r="M8" s="7">
        <f>+L8-144040036</f>
        <v>31244620</v>
      </c>
      <c r="N8" s="139"/>
    </row>
    <row r="9" spans="1:14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21339070</v>
      </c>
      <c r="K9" s="7">
        <f>+J9-16458977</f>
        <v>4880093</v>
      </c>
      <c r="L9" s="7">
        <v>22358540</v>
      </c>
      <c r="M9" s="7">
        <f>+L9-13728164</f>
        <v>8630376</v>
      </c>
      <c r="N9" s="139"/>
    </row>
    <row r="10" spans="1:14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128">
        <f>J11+J12+J16+J20+J21+J22+J25+J26</f>
        <v>174676655</v>
      </c>
      <c r="K10" s="53">
        <f>K11+K12+K16+K20+K21+K22+K25+K26</f>
        <v>50920809</v>
      </c>
      <c r="L10" s="128">
        <f>L11+L12+L16+L20+L21+L22+L25+L26</f>
        <v>185963450</v>
      </c>
      <c r="M10" s="53">
        <f>M11+M12+M16+M20+M21+M22+M25+M26</f>
        <v>58949098</v>
      </c>
      <c r="N10" s="138"/>
    </row>
    <row r="11" spans="1:14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39"/>
    </row>
    <row r="12" spans="1:14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128">
        <f>SUM(J13:J15)</f>
        <v>47799268</v>
      </c>
      <c r="K12" s="53">
        <f>SUM(K13:K15)</f>
        <v>12406048</v>
      </c>
      <c r="L12" s="128">
        <f>SUM(L13:L15)</f>
        <v>43431795</v>
      </c>
      <c r="M12" s="53">
        <f>SUM(M13:M15)</f>
        <v>13452166</v>
      </c>
      <c r="N12" s="138"/>
    </row>
    <row r="13" spans="1:14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15029147</v>
      </c>
      <c r="K13" s="7">
        <f>+J13-11559300</f>
        <v>3469847</v>
      </c>
      <c r="L13" s="7">
        <v>10941251</v>
      </c>
      <c r="M13" s="7">
        <f>+L13-8215358</f>
        <v>2725893</v>
      </c>
      <c r="N13" s="139"/>
    </row>
    <row r="14" spans="1:14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180099</v>
      </c>
      <c r="K14" s="7">
        <f>+J14-151088</f>
        <v>29011</v>
      </c>
      <c r="L14" s="7">
        <v>232810</v>
      </c>
      <c r="M14" s="7">
        <f>+L14-20815</f>
        <v>211995</v>
      </c>
      <c r="N14" s="139"/>
    </row>
    <row r="15" spans="1:14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32590022</v>
      </c>
      <c r="K15" s="7">
        <f>+J15-23682832</f>
        <v>8907190</v>
      </c>
      <c r="L15" s="7">
        <v>32257734</v>
      </c>
      <c r="M15" s="7">
        <f>+L15-21743456</f>
        <v>10514278</v>
      </c>
      <c r="N15" s="139"/>
    </row>
    <row r="16" spans="1:14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28">
        <f>SUM(J17:J19)</f>
        <v>47827062</v>
      </c>
      <c r="K16" s="53">
        <f>SUM(K17:K19)</f>
        <v>12838669</v>
      </c>
      <c r="L16" s="128">
        <f>SUM(L17:L19)</f>
        <v>52591490</v>
      </c>
      <c r="M16" s="53">
        <f>SUM(M17:M19)</f>
        <v>12855801</v>
      </c>
      <c r="N16" s="138"/>
    </row>
    <row r="17" spans="1:14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28830391</v>
      </c>
      <c r="K17" s="7">
        <f>+J17-21162723</f>
        <v>7667668</v>
      </c>
      <c r="L17" s="7">
        <v>31340302</v>
      </c>
      <c r="M17" s="7">
        <f>+L17-23659183</f>
        <v>7681119</v>
      </c>
      <c r="N17" s="139"/>
    </row>
    <row r="18" spans="1:14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12479157</v>
      </c>
      <c r="K18" s="7">
        <f>+J18-9003518</f>
        <v>3475639</v>
      </c>
      <c r="L18" s="7">
        <v>14289105</v>
      </c>
      <c r="M18" s="7">
        <f>+L18-10819052</f>
        <v>3470053</v>
      </c>
      <c r="N18" s="139"/>
    </row>
    <row r="19" spans="1:14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6517514</v>
      </c>
      <c r="K19" s="7">
        <f>+J19-4822152</f>
        <v>1695362</v>
      </c>
      <c r="L19" s="7">
        <v>6962083</v>
      </c>
      <c r="M19" s="7">
        <f>+L19-5257454</f>
        <v>1704629</v>
      </c>
      <c r="N19" s="139"/>
    </row>
    <row r="20" spans="1:14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52360649</v>
      </c>
      <c r="K20" s="7">
        <f>+J20-38604540</f>
        <v>13756109</v>
      </c>
      <c r="L20" s="7">
        <v>56607944</v>
      </c>
      <c r="M20" s="7">
        <f>+L20-42489573</f>
        <v>14118371</v>
      </c>
      <c r="N20" s="139"/>
    </row>
    <row r="21" spans="1:14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16451182</v>
      </c>
      <c r="K21" s="7">
        <f>+J21-12959240</f>
        <v>3491942</v>
      </c>
      <c r="L21" s="7">
        <v>16683725</v>
      </c>
      <c r="M21" s="7">
        <f>+L21-12000492</f>
        <v>4683233</v>
      </c>
      <c r="N21" s="139"/>
    </row>
    <row r="22" spans="1:14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128">
        <f>SUM(J23:J24)</f>
        <v>2179816</v>
      </c>
      <c r="K22" s="53">
        <f>SUM(K23:K24)</f>
        <v>2179816</v>
      </c>
      <c r="L22" s="128">
        <f>SUM(L23:L24)</f>
        <v>2613923</v>
      </c>
      <c r="M22" s="53">
        <f>SUM(M23:M24)</f>
        <v>1957106</v>
      </c>
      <c r="N22" s="138"/>
    </row>
    <row r="23" spans="1:14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39"/>
    </row>
    <row r="24" spans="1:14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2179816</v>
      </c>
      <c r="K24" s="7">
        <f>+J24</f>
        <v>2179816</v>
      </c>
      <c r="L24" s="7">
        <v>2613923</v>
      </c>
      <c r="M24" s="7">
        <f>+L24-656817</f>
        <v>1957106</v>
      </c>
      <c r="N24" s="139"/>
    </row>
    <row r="25" spans="1:14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>
        <v>4561924</v>
      </c>
      <c r="K25" s="7">
        <f>+J25</f>
        <v>4561924</v>
      </c>
      <c r="L25" s="7">
        <v>9166401</v>
      </c>
      <c r="M25" s="7">
        <f>+L25</f>
        <v>9166401</v>
      </c>
      <c r="N25" s="139"/>
    </row>
    <row r="26" spans="1:14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3496754</v>
      </c>
      <c r="K26" s="7">
        <f>+J26-1810453</f>
        <v>1686301</v>
      </c>
      <c r="L26" s="7">
        <v>4868172</v>
      </c>
      <c r="M26" s="7">
        <f>+L26-2152152</f>
        <v>2716020</v>
      </c>
      <c r="N26" s="139"/>
    </row>
    <row r="27" spans="1:14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128">
        <f>SUM(J28:J32)</f>
        <v>4661168</v>
      </c>
      <c r="K27" s="53">
        <f>SUM(K28:K32)</f>
        <v>1743720</v>
      </c>
      <c r="L27" s="128">
        <f>SUM(L28:L32)</f>
        <v>11054868</v>
      </c>
      <c r="M27" s="53">
        <f>SUM(M28:M32)</f>
        <v>7522359</v>
      </c>
      <c r="N27" s="138"/>
    </row>
    <row r="28" spans="1:14" ht="29.25" customHeight="1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0</v>
      </c>
      <c r="K28" s="7">
        <v>0</v>
      </c>
      <c r="L28" s="7">
        <v>0</v>
      </c>
      <c r="M28" s="7">
        <v>0</v>
      </c>
      <c r="N28" s="139"/>
    </row>
    <row r="29" spans="1:14" ht="27" customHeight="1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4660538</v>
      </c>
      <c r="K29" s="7">
        <f>+J29-2917448</f>
        <v>1743090</v>
      </c>
      <c r="L29" s="7">
        <v>11054868</v>
      </c>
      <c r="M29" s="7">
        <f>+L29-3532509</f>
        <v>7522359</v>
      </c>
      <c r="N29" s="139"/>
    </row>
    <row r="30" spans="1:14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39"/>
    </row>
    <row r="31" spans="1:14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>
        <v>630</v>
      </c>
      <c r="K31" s="7">
        <v>630</v>
      </c>
      <c r="L31" s="7">
        <v>0</v>
      </c>
      <c r="M31" s="7">
        <f>+L31</f>
        <v>0</v>
      </c>
      <c r="N31" s="139"/>
    </row>
    <row r="32" spans="1:14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39"/>
    </row>
    <row r="33" spans="1:14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128">
        <f>SUM(J34:J37)</f>
        <v>2065128</v>
      </c>
      <c r="K33" s="53">
        <f>SUM(K34:K37)</f>
        <v>996170</v>
      </c>
      <c r="L33" s="128">
        <f>SUM(L34:L37)</f>
        <v>8552777</v>
      </c>
      <c r="M33" s="53">
        <f>SUM(M34:M37)</f>
        <v>5499545</v>
      </c>
      <c r="N33" s="138"/>
    </row>
    <row r="34" spans="1:14" ht="14.25" customHeight="1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39"/>
    </row>
    <row r="35" spans="1:14" ht="26.25" customHeight="1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2060867</v>
      </c>
      <c r="K35" s="7">
        <f>+J35-1068958</f>
        <v>991909</v>
      </c>
      <c r="L35" s="7">
        <v>8539186</v>
      </c>
      <c r="M35" s="7">
        <f>+L35-3053232</f>
        <v>5485954</v>
      </c>
      <c r="N35" s="139"/>
    </row>
    <row r="36" spans="1:14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>
        <v>4261</v>
      </c>
      <c r="K36" s="7">
        <f>+J36</f>
        <v>4261</v>
      </c>
      <c r="L36" s="7">
        <v>13591</v>
      </c>
      <c r="M36" s="7">
        <f>+L36</f>
        <v>13591</v>
      </c>
      <c r="N36" s="139"/>
    </row>
    <row r="37" spans="1:14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39"/>
    </row>
    <row r="38" spans="1:14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39"/>
    </row>
    <row r="39" spans="1:14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39"/>
    </row>
    <row r="40" spans="1:14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39"/>
    </row>
    <row r="41" spans="1:14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39"/>
    </row>
    <row r="42" spans="1:14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128">
        <f>J7+J27+J38+J40</f>
        <v>201518081</v>
      </c>
      <c r="K42" s="53">
        <f>K7+K27+K38+K40</f>
        <v>38088661</v>
      </c>
      <c r="L42" s="128">
        <f>L7+L27+L38+L40</f>
        <v>208698064</v>
      </c>
      <c r="M42" s="53">
        <f>M7+M27+M38+M40</f>
        <v>47397355</v>
      </c>
      <c r="N42" s="138"/>
    </row>
    <row r="43" spans="1:14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128">
        <f>J10+J33+J39+J41</f>
        <v>176741783</v>
      </c>
      <c r="K43" s="53">
        <f>K10+K33+K39+K41</f>
        <v>51916979</v>
      </c>
      <c r="L43" s="128">
        <f>L10+L33+L39+L41</f>
        <v>194516227</v>
      </c>
      <c r="M43" s="53">
        <f>M10+M33+M39+M41</f>
        <v>64448643</v>
      </c>
      <c r="N43" s="138"/>
    </row>
    <row r="44" spans="1:14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128">
        <f>J42-J43</f>
        <v>24776298</v>
      </c>
      <c r="K44" s="53">
        <f>K42-K43</f>
        <v>-13828318</v>
      </c>
      <c r="L44" s="128">
        <f>L42-L43</f>
        <v>14181837</v>
      </c>
      <c r="M44" s="53">
        <f>M42-M43</f>
        <v>-17051288</v>
      </c>
      <c r="N44" s="138"/>
    </row>
    <row r="45" spans="1:14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128">
        <f>IF(J42&gt;J43,J42-J43,0)</f>
        <v>24776298</v>
      </c>
      <c r="K45" s="53">
        <f>IF(K42&gt;K43,K42-K43,0)</f>
        <v>0</v>
      </c>
      <c r="L45" s="128">
        <f>IF(L42&gt;L43,L42-L43,0)</f>
        <v>14181837</v>
      </c>
      <c r="M45" s="53">
        <f>IF(M42&gt;M43,M42-M43,0)</f>
        <v>0</v>
      </c>
      <c r="N45" s="138"/>
    </row>
    <row r="46" spans="1:14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128">
        <f>IF(J43&gt;J42,J43-J42,0)</f>
        <v>0</v>
      </c>
      <c r="K46" s="53">
        <f>IF(K43&gt;K42,K43-K42,0)</f>
        <v>13828318</v>
      </c>
      <c r="L46" s="128">
        <f>IF(L43&gt;L42,L43-L42,0)</f>
        <v>0</v>
      </c>
      <c r="M46" s="53">
        <f>IF(M43&gt;M42,M43-M42,0)</f>
        <v>17051288</v>
      </c>
      <c r="N46" s="138"/>
    </row>
    <row r="47" spans="1:14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5397162</v>
      </c>
      <c r="K47" s="7">
        <f>+J47</f>
        <v>5397162</v>
      </c>
      <c r="L47" s="7">
        <v>2836367</v>
      </c>
      <c r="M47" s="7">
        <f>+L47</f>
        <v>2836367</v>
      </c>
      <c r="N47" s="139"/>
    </row>
    <row r="48" spans="1:14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128">
        <f>J44-J47</f>
        <v>19379136</v>
      </c>
      <c r="K48" s="53">
        <f>K44-K47</f>
        <v>-19225480</v>
      </c>
      <c r="L48" s="128">
        <f>L44-L47</f>
        <v>11345470</v>
      </c>
      <c r="M48" s="53">
        <f>M44-M47</f>
        <v>-19887655</v>
      </c>
      <c r="N48" s="138"/>
    </row>
    <row r="49" spans="1:14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128">
        <f>IF(J48&gt;0,J48,0)</f>
        <v>19379136</v>
      </c>
      <c r="K49" s="53">
        <f>IF(K48&gt;0,K48,0)</f>
        <v>0</v>
      </c>
      <c r="L49" s="128">
        <f>IF(L48&gt;0,L48,0)</f>
        <v>11345470</v>
      </c>
      <c r="M49" s="53">
        <f>IF(M48&gt;0,M48,0)</f>
        <v>0</v>
      </c>
      <c r="N49" s="138"/>
    </row>
    <row r="50" spans="1:14" ht="12.75">
      <c r="A50" s="263" t="s">
        <v>220</v>
      </c>
      <c r="B50" s="264"/>
      <c r="C50" s="264"/>
      <c r="D50" s="264"/>
      <c r="E50" s="264"/>
      <c r="F50" s="264"/>
      <c r="G50" s="264"/>
      <c r="H50" s="265"/>
      <c r="I50" s="2">
        <v>154</v>
      </c>
      <c r="J50" s="130">
        <f>IF(J48&lt;0,-J48,0)</f>
        <v>0</v>
      </c>
      <c r="K50" s="61">
        <f>IF(K48&lt;0,-K48,0)</f>
        <v>19225480</v>
      </c>
      <c r="L50" s="130">
        <f>IF(L48&lt;0,-L48,0)</f>
        <v>0</v>
      </c>
      <c r="M50" s="61">
        <f>IF(M48&lt;0,-M48,0)</f>
        <v>19887655</v>
      </c>
      <c r="N50" s="138"/>
    </row>
    <row r="51" spans="1:14" ht="12.75" customHeight="1">
      <c r="A51" s="231" t="s">
        <v>312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140"/>
    </row>
    <row r="52" spans="1:14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5"/>
      <c r="J52" s="55"/>
      <c r="K52" s="55"/>
      <c r="L52" s="55"/>
      <c r="M52" s="62"/>
      <c r="N52" s="141"/>
    </row>
    <row r="53" spans="1:14" ht="12.75">
      <c r="A53" s="260" t="s">
        <v>234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  <c r="N53" s="139"/>
    </row>
    <row r="54" spans="1:14" ht="12.75">
      <c r="A54" s="260" t="s">
        <v>235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  <c r="N54" s="139"/>
    </row>
    <row r="55" spans="1:14" ht="12.75" customHeight="1">
      <c r="A55" s="231" t="s">
        <v>189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140"/>
    </row>
    <row r="56" spans="1:14" ht="12.75">
      <c r="A56" s="219" t="s">
        <v>204</v>
      </c>
      <c r="B56" s="220"/>
      <c r="C56" s="220"/>
      <c r="D56" s="220"/>
      <c r="E56" s="220"/>
      <c r="F56" s="220"/>
      <c r="G56" s="220"/>
      <c r="H56" s="221"/>
      <c r="I56" s="9">
        <v>157</v>
      </c>
      <c r="J56" s="6">
        <f>+J49</f>
        <v>19379136</v>
      </c>
      <c r="K56" s="6">
        <f>+K48</f>
        <v>-19225480</v>
      </c>
      <c r="L56" s="6">
        <f>+L49</f>
        <v>11345470</v>
      </c>
      <c r="M56" s="6">
        <f>+M48</f>
        <v>-19887655</v>
      </c>
      <c r="N56" s="139"/>
    </row>
    <row r="57" spans="1:14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  <c r="N57" s="138"/>
    </row>
    <row r="58" spans="1:14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0</v>
      </c>
      <c r="K58" s="7">
        <v>0</v>
      </c>
      <c r="L58" s="7">
        <v>0</v>
      </c>
      <c r="M58" s="7">
        <v>0</v>
      </c>
      <c r="N58" s="139"/>
    </row>
    <row r="59" spans="1:14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39"/>
    </row>
    <row r="60" spans="1:14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39"/>
    </row>
    <row r="61" spans="1:14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39"/>
    </row>
    <row r="62" spans="1:14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39"/>
    </row>
    <row r="63" spans="1:14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39"/>
    </row>
    <row r="64" spans="1:14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39"/>
    </row>
    <row r="65" spans="1:14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39"/>
    </row>
    <row r="66" spans="1:14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38"/>
    </row>
    <row r="67" spans="1:14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19379136</v>
      </c>
      <c r="K67" s="61">
        <f>K56+K66</f>
        <v>-19225480</v>
      </c>
      <c r="L67" s="61">
        <f>L56+L66</f>
        <v>11345470</v>
      </c>
      <c r="M67" s="61">
        <f>M56+M66</f>
        <v>-19887655</v>
      </c>
      <c r="N67" s="138"/>
    </row>
    <row r="68" spans="1:14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140"/>
    </row>
    <row r="69" spans="1:14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140"/>
    </row>
    <row r="70" spans="1:14" ht="12.75">
      <c r="A70" s="260" t="s">
        <v>234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  <c r="N70" s="139"/>
    </row>
    <row r="71" spans="1:14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  <c r="N71" s="139"/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7:H27"/>
    <mergeCell ref="A28:H28"/>
    <mergeCell ref="A29:H29"/>
    <mergeCell ref="A26:H26"/>
    <mergeCell ref="A11:H11"/>
    <mergeCell ref="A12:H12"/>
    <mergeCell ref="A13:H13"/>
    <mergeCell ref="A22:H22"/>
    <mergeCell ref="A23:H23"/>
    <mergeCell ref="A24:H24"/>
    <mergeCell ref="A25:H25"/>
    <mergeCell ref="A20:H20"/>
    <mergeCell ref="A21:H21"/>
    <mergeCell ref="A18:H18"/>
    <mergeCell ref="A19:H19"/>
    <mergeCell ref="J4:K4"/>
    <mergeCell ref="L4:M4"/>
    <mergeCell ref="A5:H5"/>
    <mergeCell ref="A14:H14"/>
    <mergeCell ref="A15:H15"/>
    <mergeCell ref="A16:H16"/>
    <mergeCell ref="A17:H17"/>
    <mergeCell ref="A3:M3"/>
    <mergeCell ref="A4:H4"/>
    <mergeCell ref="A6:H6"/>
    <mergeCell ref="A7:H7"/>
    <mergeCell ref="A8:H8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70:L71 J53:L54 J56:J67 K56:L56 K57:N57 K58:L65 K66:N67 J47 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6:N16 M12:N12 M33:N33 M22:N22 M27:N27 J7:J10 J12:J46 K12 K16 K22 K27 K33 K42:K46 M42:N46 J48:N50 K7 K10 L7:N10 L12:L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8">
        <v>2</v>
      </c>
      <c r="J5" s="69" t="s">
        <v>283</v>
      </c>
      <c r="K5" s="69" t="s">
        <v>284</v>
      </c>
    </row>
    <row r="6" spans="1:11" ht="12.75">
      <c r="A6" s="231" t="s">
        <v>156</v>
      </c>
      <c r="B6" s="239"/>
      <c r="C6" s="239"/>
      <c r="D6" s="239"/>
      <c r="E6" s="239"/>
      <c r="F6" s="239"/>
      <c r="G6" s="239"/>
      <c r="H6" s="239"/>
      <c r="I6" s="273"/>
      <c r="J6" s="273"/>
      <c r="K6" s="27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/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31" t="s">
        <v>159</v>
      </c>
      <c r="B21" s="239"/>
      <c r="C21" s="239"/>
      <c r="D21" s="239"/>
      <c r="E21" s="239"/>
      <c r="F21" s="239"/>
      <c r="G21" s="239"/>
      <c r="H21" s="239"/>
      <c r="I21" s="273"/>
      <c r="J21" s="273"/>
      <c r="K21" s="27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/>
      <c r="K28" s="7"/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31" t="s">
        <v>160</v>
      </c>
      <c r="B34" s="239"/>
      <c r="C34" s="239"/>
      <c r="D34" s="239"/>
      <c r="E34" s="239"/>
      <c r="F34" s="239"/>
      <c r="G34" s="239"/>
      <c r="H34" s="239"/>
      <c r="I34" s="273"/>
      <c r="J34" s="273"/>
      <c r="K34" s="27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/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/>
      <c r="K49" s="7"/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46" t="s">
        <v>177</v>
      </c>
      <c r="B52" s="247"/>
      <c r="C52" s="247"/>
      <c r="D52" s="247"/>
      <c r="E52" s="247"/>
      <c r="F52" s="247"/>
      <c r="G52" s="247"/>
      <c r="H52" s="247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22">
      <selection activeCell="J51" sqref="J51"/>
    </sheetView>
  </sheetViews>
  <sheetFormatPr defaultColWidth="9.140625" defaultRowHeight="12.75"/>
  <cols>
    <col min="1" max="8" width="9.140625" style="52" customWidth="1"/>
    <col min="9" max="9" width="8.57421875" style="52" customWidth="1"/>
    <col min="10" max="10" width="10.0039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6" t="s">
        <v>344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337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23.25">
      <c r="A4" s="271" t="s">
        <v>59</v>
      </c>
      <c r="B4" s="271"/>
      <c r="C4" s="271"/>
      <c r="D4" s="271"/>
      <c r="E4" s="271"/>
      <c r="F4" s="271"/>
      <c r="G4" s="271"/>
      <c r="H4" s="271"/>
      <c r="I4" s="66" t="s">
        <v>279</v>
      </c>
      <c r="J4" s="67" t="s">
        <v>319</v>
      </c>
      <c r="K4" s="67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2">
        <v>2</v>
      </c>
      <c r="J5" s="73" t="s">
        <v>283</v>
      </c>
      <c r="K5" s="73" t="s">
        <v>284</v>
      </c>
    </row>
    <row r="6" spans="1:11" ht="12.75">
      <c r="A6" s="231" t="s">
        <v>156</v>
      </c>
      <c r="B6" s="239"/>
      <c r="C6" s="239"/>
      <c r="D6" s="239"/>
      <c r="E6" s="239"/>
      <c r="F6" s="239"/>
      <c r="G6" s="239"/>
      <c r="H6" s="239"/>
      <c r="I6" s="273"/>
      <c r="J6" s="273"/>
      <c r="K6" s="27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7">
        <v>237543499</v>
      </c>
      <c r="K7" s="7">
        <v>239275006</v>
      </c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0</v>
      </c>
      <c r="K8" s="7">
        <v>0</v>
      </c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7">
        <v>1185856</v>
      </c>
      <c r="K9" s="7">
        <v>834888</v>
      </c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7">
        <v>0</v>
      </c>
      <c r="K10" s="7">
        <v>0</v>
      </c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7">
        <v>1656211</v>
      </c>
      <c r="K11" s="7">
        <v>2835433</v>
      </c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128">
        <f>SUM(J7:J11)</f>
        <v>240385566</v>
      </c>
      <c r="K12" s="128">
        <f>SUM(K7:K11)</f>
        <v>242945327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7">
        <v>71329659</v>
      </c>
      <c r="K13" s="7">
        <v>59702099</v>
      </c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7">
        <v>50984798</v>
      </c>
      <c r="K14" s="7">
        <v>56878096</v>
      </c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7">
        <v>3459128</v>
      </c>
      <c r="K15" s="7">
        <v>2714848</v>
      </c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7">
        <v>538188</v>
      </c>
      <c r="K16" s="7">
        <v>398484</v>
      </c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7">
        <v>35238062</v>
      </c>
      <c r="K17" s="7">
        <v>41498036</v>
      </c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7">
        <v>7488315</v>
      </c>
      <c r="K18" s="7">
        <v>5669895</v>
      </c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128">
        <f>SUM(J13:J18)</f>
        <v>169038150</v>
      </c>
      <c r="K19" s="128">
        <f>SUM(K13:K18)</f>
        <v>166861458</v>
      </c>
    </row>
    <row r="20" spans="1:11" ht="12.75">
      <c r="A20" s="222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128">
        <f>IF(J12&gt;J19,J12-J19,0)</f>
        <v>71347416</v>
      </c>
      <c r="K20" s="128">
        <f>IF(K12&gt;K19,K12-K19,0)</f>
        <v>76083869</v>
      </c>
    </row>
    <row r="21" spans="1:11" ht="12.75">
      <c r="A21" s="228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128">
        <f>IF(J19&gt;J12,J19-J12,0)</f>
        <v>0</v>
      </c>
      <c r="K21" s="128">
        <f>IF(K19&gt;K12,K19-K12,0)</f>
        <v>0</v>
      </c>
    </row>
    <row r="22" spans="1:11" ht="12.75">
      <c r="A22" s="231" t="s">
        <v>159</v>
      </c>
      <c r="B22" s="239"/>
      <c r="C22" s="239"/>
      <c r="D22" s="239"/>
      <c r="E22" s="239"/>
      <c r="F22" s="239"/>
      <c r="G22" s="239"/>
      <c r="H22" s="239"/>
      <c r="I22" s="273"/>
      <c r="J22" s="273"/>
      <c r="K22" s="27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7">
        <v>94730</v>
      </c>
      <c r="K23" s="7">
        <v>194087</v>
      </c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7">
        <v>0</v>
      </c>
      <c r="K24" s="7">
        <v>0</v>
      </c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7">
        <v>0</v>
      </c>
      <c r="K25" s="7">
        <v>0</v>
      </c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7">
        <v>0</v>
      </c>
      <c r="K26" s="7">
        <v>0</v>
      </c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7">
        <v>0</v>
      </c>
      <c r="K27" s="7">
        <v>0</v>
      </c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128">
        <f>SUM(J23:J27)</f>
        <v>94730</v>
      </c>
      <c r="K28" s="128">
        <f>SUM(K23:K27)</f>
        <v>194087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7">
        <v>36645835</v>
      </c>
      <c r="K29" s="7">
        <v>9028786</v>
      </c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7">
        <v>0</v>
      </c>
      <c r="K30" s="7">
        <v>0</v>
      </c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7">
        <v>0</v>
      </c>
      <c r="K31" s="7">
        <v>0</v>
      </c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128">
        <f>SUM(J29:J31)</f>
        <v>36645835</v>
      </c>
      <c r="K32" s="128">
        <f>SUM(K29:K31)</f>
        <v>9028786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128">
        <f>IF(J28&gt;J32,J28-J32,0)</f>
        <v>0</v>
      </c>
      <c r="K33" s="128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128">
        <f>IF(J32&gt;J28,J32-J28,0)</f>
        <v>36551105</v>
      </c>
      <c r="K34" s="128">
        <f>IF(K32&gt;K28,K32-K28,0)</f>
        <v>8834699</v>
      </c>
    </row>
    <row r="35" spans="1:11" ht="12.75">
      <c r="A35" s="231" t="s">
        <v>160</v>
      </c>
      <c r="B35" s="239"/>
      <c r="C35" s="239"/>
      <c r="D35" s="239"/>
      <c r="E35" s="239"/>
      <c r="F35" s="239"/>
      <c r="G35" s="239"/>
      <c r="H35" s="239"/>
      <c r="I35" s="273">
        <v>0</v>
      </c>
      <c r="J35" s="273"/>
      <c r="K35" s="27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7">
        <v>0</v>
      </c>
      <c r="K36" s="7">
        <v>0</v>
      </c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7">
        <v>0</v>
      </c>
      <c r="K37" s="7">
        <v>0</v>
      </c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7">
        <v>0</v>
      </c>
      <c r="K38" s="7">
        <v>0</v>
      </c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128">
        <f>SUM(J36:J38)</f>
        <v>0</v>
      </c>
      <c r="K39" s="128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7">
        <v>5544881</v>
      </c>
      <c r="K40" s="7">
        <v>2450767</v>
      </c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7">
        <v>0</v>
      </c>
      <c r="K41" s="7">
        <v>0</v>
      </c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7">
        <v>1000419</v>
      </c>
      <c r="K42" s="7">
        <v>1177163</v>
      </c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7">
        <v>0</v>
      </c>
      <c r="K43" s="7">
        <v>0</v>
      </c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7">
        <v>0</v>
      </c>
      <c r="K44" s="7">
        <v>0</v>
      </c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128">
        <f>SUM(J40:J44)</f>
        <v>6545300</v>
      </c>
      <c r="K45" s="128">
        <f>SUM(K40:K44)</f>
        <v>3627930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128">
        <f>IF(J39&gt;J45,J39-J45,0)</f>
        <v>0</v>
      </c>
      <c r="K46" s="128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128">
        <f>IF(J45&gt;J39,J45-J39,0)</f>
        <v>6545300</v>
      </c>
      <c r="K47" s="128">
        <f>IF(K45&gt;K39,K45-K39,0)</f>
        <v>3627930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128">
        <f>IF(J20-J21+J33-J34+J46-J47&gt;0,J20-J21+J33-J34+J46-J47,0)</f>
        <v>28251011</v>
      </c>
      <c r="K48" s="128">
        <f>IF(K20-K21+K33-K34+K46-K47&gt;0,K20-K21+K33-K34+K46-K47,0)</f>
        <v>63621240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135">
        <f>IF(J21-J20+J34-J33+J47-J46&gt;0,J21-J20+J34-J33+J47-J46,0)</f>
        <v>0</v>
      </c>
      <c r="K49" s="135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>
        <v>26031844</v>
      </c>
      <c r="K50" s="7">
        <v>54282855</v>
      </c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7">
        <f>+J48</f>
        <v>28251011</v>
      </c>
      <c r="K51" s="7">
        <f>+K48</f>
        <v>63621240</v>
      </c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7">
        <v>0</v>
      </c>
      <c r="K52" s="7">
        <v>0</v>
      </c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130">
        <f>J50+J51-J52</f>
        <v>54282855</v>
      </c>
      <c r="K53" s="130">
        <f>K50+K51-K52</f>
        <v>117904095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  <mergeCell ref="A11:H1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3:K27 J29:K31 J13:K18 J7:K11 J36:K38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2 J12:K12 J32:K35 J28:K28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</row>
    <row r="2" spans="1:12" ht="15.75">
      <c r="A2" s="42"/>
      <c r="B2" s="74"/>
      <c r="C2" s="298" t="s">
        <v>282</v>
      </c>
      <c r="D2" s="298"/>
      <c r="E2" s="77">
        <v>40909</v>
      </c>
      <c r="F2" s="43" t="s">
        <v>250</v>
      </c>
      <c r="G2" s="299">
        <v>41639</v>
      </c>
      <c r="H2" s="300"/>
      <c r="I2" s="74"/>
      <c r="J2" s="74"/>
      <c r="K2" s="74"/>
      <c r="L2" s="78"/>
    </row>
    <row r="3" spans="1:11" ht="23.25">
      <c r="A3" s="301" t="s">
        <v>59</v>
      </c>
      <c r="B3" s="301"/>
      <c r="C3" s="301"/>
      <c r="D3" s="301"/>
      <c r="E3" s="301"/>
      <c r="F3" s="301"/>
      <c r="G3" s="301"/>
      <c r="H3" s="301"/>
      <c r="I3" s="81" t="s">
        <v>305</v>
      </c>
      <c r="J3" s="82" t="s">
        <v>150</v>
      </c>
      <c r="K3" s="82" t="s">
        <v>151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4">
        <v>2</v>
      </c>
      <c r="J4" s="83" t="s">
        <v>283</v>
      </c>
      <c r="K4" s="83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399816000</v>
      </c>
      <c r="K5" s="45">
        <v>399816000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>
        <v>0</v>
      </c>
      <c r="K6" s="46">
        <v>0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19990800</v>
      </c>
      <c r="K7" s="46">
        <v>19990800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3450440</v>
      </c>
      <c r="K8" s="46">
        <v>22829576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19379136</v>
      </c>
      <c r="K9" s="46">
        <v>11345470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0</v>
      </c>
      <c r="K10" s="46">
        <v>0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>
        <v>0</v>
      </c>
      <c r="K11" s="46">
        <v>0</v>
      </c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0</v>
      </c>
      <c r="K12" s="46">
        <v>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>
        <v>0</v>
      </c>
      <c r="K13" s="46">
        <v>0</v>
      </c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9">
        <f>SUM(J5:J13)</f>
        <v>442636376</v>
      </c>
      <c r="K14" s="79">
        <f>SUM(K5:K13)</f>
        <v>453981846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>
        <v>0</v>
      </c>
      <c r="K15" s="46">
        <v>0</v>
      </c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>
        <v>0</v>
      </c>
      <c r="K16" s="46">
        <v>0</v>
      </c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>
        <v>0</v>
      </c>
      <c r="K17" s="46">
        <v>0</v>
      </c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>
        <v>0</v>
      </c>
      <c r="K18" s="46">
        <v>0</v>
      </c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>
        <v>0</v>
      </c>
      <c r="K19" s="46">
        <v>0</v>
      </c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>
        <v>0</v>
      </c>
      <c r="K20" s="46">
        <v>0</v>
      </c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7">
        <v>18</v>
      </c>
      <c r="J23" s="45"/>
      <c r="K23" s="45"/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8">
        <v>19</v>
      </c>
      <c r="J24" s="80"/>
      <c r="K24" s="80"/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17:H17"/>
    <mergeCell ref="C2:D2"/>
    <mergeCell ref="G2:H2"/>
    <mergeCell ref="A3:H3"/>
    <mergeCell ref="A4:H4"/>
    <mergeCell ref="A5:H5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280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316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Kostelac</cp:lastModifiedBy>
  <cp:lastPrinted>2014-02-14T11:22:26Z</cp:lastPrinted>
  <dcterms:created xsi:type="dcterms:W3CDTF">2008-10-17T11:51:54Z</dcterms:created>
  <dcterms:modified xsi:type="dcterms:W3CDTF">2014-02-14T11:23:31Z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