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<sst xmlns="http://schemas.openxmlformats.org/spreadsheetml/2006/main" count="397" uniqueCount="344">
  <si>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</si>
  <si>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</si>
  <si>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</si>
  <si>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</si>
  <si>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</si>
  <si>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</si>
  <si>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</si>
  <si>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</si>
  <si>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</si>
  <si>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</si>
  <si>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</si>
  <si>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</si>
  <si>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</si>
  <si>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</si>
  <si>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</si>
  <si>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</si>
  <si>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</si>
  <si>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</si>
  <si>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</si>
  <si>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</si>
  <si>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</si>
  <si>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</si>
  <si>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</si>
  <si>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</si>
  <si>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</si>
  <si>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</si>
  <si>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</si>
  <si>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</si>
  <si>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</si>
  <si>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</si>
  <si>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</si>
  <si>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</si>
  <si>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</si>
  <si>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</si>
  <si>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</si>
  <si>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</si>
  <si>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</si>
  <si>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</si>
  <si>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</si>
  <si>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</si>
  <si>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</si>
  <si>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</si>
  <si>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</si>
  <si>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</si>
  <si>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</si>
  <si>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</si>
  <si>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</si>
  <si>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</si>
  <si>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</si>
  <si>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</si>
  <si>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</si>
  <si>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</si>
  <si>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</si>
  <si>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</si>
  <si>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</si>
  <si>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</si>
  <si>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</si>
  <si>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</si>
  <si>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</si>
  <si>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</si>
  <si>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</si>
  <si>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</si>
  <si>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</si>
  <si>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</si>
  <si>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</si>
  <si>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</si>
  <si>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</si>
  <si>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</si>
  <si>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</si>
  <si>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</si>
  <si>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</si>
  <si>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</si>
  <si>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</si>
  <si>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</si>
  <si>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</si>
  <si>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</si>
  <si>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</si>
  <si>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</si>
  <si>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</si>
  <si>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</si>
  <si>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</si>
  <si>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</si>
  <si>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</si>
  <si>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</si>
  <si>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</si>
  <si>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</si>
  <si>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</si>
  <si>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</si>
  <si>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</si>
  <si>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</si>
  <si>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</si>
  <si>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</si>
  <si>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</si>
  <si>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</si>
  <si>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</si>
  <si>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</si>
  <si>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</si>
  <si>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</si>
  <si>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</si>
  <si>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</si>
  <si>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</si>
  <si>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</si>
  <si>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</si>
  <si>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</si>
  <si>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</si>
  <si>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</si>
  <si>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</si>
  <si>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</si>
  <si>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</si>
  <si>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</si>
  <si>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</si>
  <si>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</si>
  <si>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</si>
  <si>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</si>
  <si>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</si>
  <si>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</si>
  <si>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</si>
  <si>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</si>
  <si>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</si>
  <si>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</si>
  <si>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</si>
  <si>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</si>
  <si>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</si>
  <si>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</si>
  <si>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</si>
  <si>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</si>
  <si>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</si>
  <si>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</si>
  <si>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</si>
  <si>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</si>
  <si>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</si>
  <si>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</si>
  <si>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</si>
  <si>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</si>
  <si>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</si>
  <si>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</si>
  <si>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</si>
  <si>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</si>
  <si>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</si>
  <si>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</si>
  <si>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</si>
  <si>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</si>
  <si>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</si>
  <si>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</si>
  <si>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</si>
  <si>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</si>
  <si>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</si>
  <si>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</si>
  <si>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</si>
  <si>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</si>
  <si>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</si>
  <si>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</si>
  <si>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</si>
  <si>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</si>
  <si>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</si>
  <si>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</si>
  <si>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</si>
  <si>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</si>
  <si>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</si>
  <si>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</si>
  <si>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</si>
  <si>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</si>
  <si>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</si>
  <si>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</si>
  <si>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</si>
  <si>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</si>
  <si>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</si>
  <si>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</si>
  <si>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</si>
  <si>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</si>
  <si>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</si>
  <si>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</si>
  <si>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</si>
  <si>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</si>
  <si>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</si>
  <si>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</si>
  <si>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</si>
  <si>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</si>
  <si>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</si>
  <si>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</si>
  <si>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</si>
  <si>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</si>
  <si>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</si>
  <si>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</si>
  <si>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</si>
  <si>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</si>
  <si>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</si>
  <si>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</si>
  <si>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</si>
  <si>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</si>
  <si>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</si>
  <si>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</si>
  <si>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</si>
  <si>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</si>
  <si>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</si>
  <si>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</si>
  <si>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</si>
  <si>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</si>
  <si>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</si>
  <si>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</si>
  <si>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</si>
  <si>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</si>
  <si>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</si>
  <si>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</si>
  <si>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</si>
  <si>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</si>
  <si>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</si>
  <si>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</si>
  <si>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</si>
  <si>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</si>
  <si>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</si>
  <si>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</si>
  <si>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</si>
  <si>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</si>
  <si>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</si>
  <si>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</si>
  <si>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</si>
  <si>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</si>
  <si>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</si>
  <si>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</si>
  <si>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</si>
  <si>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</si>
  <si>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</si>
  <si>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</si>
  <si>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</si>
  <si>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</si>
  <si>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</si>
  <si>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</si>
  <si>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</si>
  <si>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</si>
  <si>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</si>
  <si>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</si>
  <si>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</si>
  <si>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</si>
  <si>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</si>
  <si>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</si>
  <si>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</si>
  <si>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</si>
  <si>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</si>
  <si>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</si>
  <si>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</si>
  <si>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</si>
  <si>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</si>
  <si>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</si>
  <si>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</si>
  <si>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</si>
  <si>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</si>
  <si>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</si>
  <si>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</si>
  <si>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</si>
  <si>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</si>
  <si>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</si>
  <si>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</si>
  <si>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</si>
  <si>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</si>
  <si>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</si>
  <si>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</si>
  <si>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</si>
  <si>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</si>
  <si>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</si>
  <si>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</si>
  <si>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</si>
  <si>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</si>
  <si>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</si>
  <si>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</si>
  <si>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</si>
  <si>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</si>
  <si>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</si>
  <si>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</si>
  <si>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</si>
  <si>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</si>
  <si>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</si>
  <si>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</si>
  <si>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</si>
  <si>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</si>
  <si>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</si>
  <si>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</si>
  <si>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</si>
  <si>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</si>
  <si>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</si>
  <si>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</si>
  <si>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</si>
  <si>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</si>
  <si>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</si>
  <si>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</si>
  <si>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</si>
  <si>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</si>
  <si>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</si>
  <si>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</si>
  <si>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</si>
  <si>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</si>
  <si>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</si>
  <si>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</si>
  <si>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</si>
  <si>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</si>
  <si>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</si>
  <si>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</si>
  <si>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</si>
  <si>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</si>
  <si>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</si>
  <si>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</si>
  <si>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</si>
  <si>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</si>
  <si>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</si>
  <si>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</si>
  <si>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</si>
  <si>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</si>
  <si>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</si>
  <si>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</si>
  <si>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</si>
  <si>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</si>
  <si>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</si>
  <si>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</si>
  <si>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</si>
  <si>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</si>
  <si>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</si>
  <si>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</si>
  <si>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</si>
  <si>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</si>
  <si>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</si>
  <si>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</si>
  <si>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</si>
  <si>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</si>
  <si>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</si>
  <si>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</si>
  <si>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</si>
  <si>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</si>
  <si>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</si>
  <si>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</si>
  <si>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</si>
  <si>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</si>
  <si>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</si>
  <si>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</si>
  <si>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</si>
  <si>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KOSTELAC SUZANA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</si>
  <si>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</si>
  <si>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</si>
  <si>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</si>
  <si>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</si>
  <si>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suzana.kostelac@aci-club.hr</t>
  </si>
  <si>
    <t>31.12.2012.</t>
  </si>
  <si>
    <t>stanje na dan 31.12.2012.</t>
  </si>
  <si>
    <t>u razdoblju 01.01.2012. do 31.12.2012.</t>
  </si>
  <si>
    <t>VIOLIĆ ANTO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</si>
</sst>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8" xfId="51" applyFont="1" applyBorder="1" applyAlignment="1" applyProtection="1">
      <alignment/>
      <protection hidden="1"/>
    </xf>
    <xf numFmtId="0" fontId="4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1" applyFont="1" applyBorder="1" applyAlignment="1">
      <alignment/>
      <protection/>
    </xf>
    <xf numFmtId="0" fontId="4" fillId="0" borderId="24" xfId="51" applyFont="1" applyBorder="1" applyAlignment="1">
      <alignment/>
      <protection/>
    </xf>
    <xf numFmtId="0" fontId="4" fillId="0" borderId="25" xfId="51" applyFont="1" applyFill="1" applyBorder="1" applyAlignment="1" applyProtection="1">
      <alignment horizontal="left" vertical="center" wrapText="1"/>
      <protection hidden="1"/>
    </xf>
    <xf numFmtId="0" fontId="4" fillId="0" borderId="16" xfId="51" applyFont="1" applyFill="1" applyBorder="1" applyAlignment="1" applyProtection="1">
      <alignment vertical="center"/>
      <protection hidden="1"/>
    </xf>
    <xf numFmtId="0" fontId="4" fillId="0" borderId="25" xfId="51" applyFont="1" applyBorder="1" applyAlignment="1" applyProtection="1">
      <alignment horizontal="left" vertical="center" wrapText="1"/>
      <protection hidden="1"/>
    </xf>
    <xf numFmtId="0" fontId="4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5" xfId="51" applyFont="1" applyBorder="1" applyAlignment="1" applyProtection="1">
      <alignment wrapText="1"/>
      <protection hidden="1"/>
    </xf>
    <xf numFmtId="0" fontId="4" fillId="0" borderId="16" xfId="51" applyFont="1" applyBorder="1" applyAlignment="1" applyProtection="1">
      <alignment horizontal="right"/>
      <protection hidden="1"/>
    </xf>
    <xf numFmtId="0" fontId="4" fillId="0" borderId="25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Border="1" applyAlignment="1" applyProtection="1">
      <alignment vertical="top"/>
      <protection hidden="1"/>
    </xf>
    <xf numFmtId="0" fontId="4" fillId="0" borderId="25" xfId="51" applyFont="1" applyBorder="1" applyAlignment="1" applyProtection="1">
      <alignment horizontal="left" vertical="top" wrapText="1"/>
      <protection hidden="1"/>
    </xf>
    <xf numFmtId="0" fontId="4" fillId="0" borderId="16" xfId="51" applyFont="1" applyBorder="1" applyAlignment="1">
      <alignment/>
      <protection/>
    </xf>
    <xf numFmtId="0" fontId="4" fillId="0" borderId="25" xfId="51" applyFont="1" applyBorder="1" applyAlignment="1" applyProtection="1">
      <alignment horizontal="left" vertical="top" indent="2"/>
      <protection hidden="1"/>
    </xf>
    <xf numFmtId="0" fontId="4" fillId="0" borderId="25" xfId="51" applyFont="1" applyBorder="1" applyAlignment="1" applyProtection="1">
      <alignment horizontal="left" vertical="top" wrapText="1" indent="2"/>
      <protection hidden="1"/>
    </xf>
    <xf numFmtId="0" fontId="4" fillId="0" borderId="16" xfId="51" applyFont="1" applyBorder="1" applyAlignment="1" applyProtection="1">
      <alignment horizontal="right" vertical="top"/>
      <protection hidden="1"/>
    </xf>
    <xf numFmtId="49" fontId="3" fillId="0" borderId="25" xfId="51" applyNumberFormat="1" applyFont="1" applyBorder="1" applyAlignment="1" applyProtection="1">
      <alignment horizontal="center" vertical="center"/>
      <protection hidden="1" locked="0"/>
    </xf>
    <xf numFmtId="0" fontId="4" fillId="0" borderId="16" xfId="51" applyFont="1" applyBorder="1" applyAlignment="1" applyProtection="1">
      <alignment horizontal="left" vertical="top"/>
      <protection hidden="1"/>
    </xf>
    <xf numFmtId="0" fontId="4" fillId="0" borderId="25" xfId="51" applyFont="1" applyBorder="1" applyAlignment="1" applyProtection="1">
      <alignment horizontal="left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left"/>
      <protection hidden="1"/>
    </xf>
    <xf numFmtId="0" fontId="4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16" xfId="51" applyFont="1" applyBorder="1" applyAlignment="1" applyProtection="1">
      <alignment vertical="center"/>
      <protection hidden="1"/>
    </xf>
    <xf numFmtId="0" fontId="4" fillId="0" borderId="26" xfId="51" applyFont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/>
      <protection hidden="1"/>
    </xf>
    <xf numFmtId="0" fontId="4" fillId="0" borderId="29" xfId="51" applyFont="1" applyFill="1" applyBorder="1" applyAlignment="1" applyProtection="1">
      <alignment/>
      <protection hidden="1"/>
    </xf>
    <xf numFmtId="14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1" applyFont="1" applyFill="1" applyBorder="1" applyAlignment="1" applyProtection="1">
      <alignment horizontal="center" vertical="center"/>
      <protection hidden="1" locked="0"/>
    </xf>
    <xf numFmtId="49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" fillId="0" borderId="16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4" fillId="0" borderId="16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Fill="1" applyBorder="1" applyAlignment="1">
      <alignment horizontal="left" vertical="center"/>
      <protection/>
    </xf>
    <xf numFmtId="0" fontId="4" fillId="0" borderId="29" xfId="51" applyFont="1" applyFill="1" applyBorder="1" applyAlignment="1">
      <alignment horizontal="left" vertical="center"/>
      <protection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6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5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 applyProtection="1">
      <alignment/>
      <protection hidden="1" locked="0"/>
    </xf>
    <xf numFmtId="0" fontId="3" fillId="0" borderId="29" xfId="51" applyFont="1" applyFill="1" applyBorder="1" applyAlignment="1" applyProtection="1">
      <alignment/>
      <protection hidden="1" locked="0"/>
    </xf>
    <xf numFmtId="0" fontId="4" fillId="0" borderId="28" xfId="51" applyFont="1" applyFill="1" applyBorder="1" applyAlignment="1">
      <alignment horizontal="left"/>
      <protection/>
    </xf>
    <xf numFmtId="0" fontId="4" fillId="0" borderId="29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 applyProtection="1">
      <alignment horizontal="right" vertical="center"/>
      <protection hidden="1" locked="0"/>
    </xf>
    <xf numFmtId="0" fontId="4" fillId="0" borderId="28" xfId="51" applyFont="1" applyFill="1" applyBorder="1" applyAlignment="1">
      <alignment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29" xfId="51" applyFont="1" applyFill="1" applyBorder="1" applyAlignment="1">
      <alignment/>
      <protection/>
    </xf>
    <xf numFmtId="0" fontId="4" fillId="0" borderId="25" xfId="51" applyFont="1" applyBorder="1" applyAlignment="1" applyProtection="1">
      <alignment horizontal="right" wrapText="1"/>
      <protection hidden="1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7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 applyProtection="1">
      <alignment horizontal="left" vertical="center"/>
      <protection hidden="1" locked="0"/>
    </xf>
    <xf numFmtId="0" fontId="4" fillId="0" borderId="31" xfId="51" applyFont="1" applyBorder="1" applyAlignment="1" applyProtection="1">
      <alignment horizontal="center" vertical="top"/>
      <protection hidden="1"/>
    </xf>
    <xf numFmtId="0" fontId="4" fillId="0" borderId="31" xfId="51" applyFont="1" applyBorder="1" applyAlignment="1">
      <alignment horizontal="center"/>
      <protection/>
    </xf>
    <xf numFmtId="0" fontId="4" fillId="0" borderId="32" xfId="51" applyFont="1" applyBorder="1" applyAlignment="1">
      <alignment/>
      <protection/>
    </xf>
    <xf numFmtId="0" fontId="4" fillId="0" borderId="28" xfId="51" applyFont="1" applyFill="1" applyBorder="1" applyAlignment="1" applyProtection="1">
      <alignment horizontal="center" vertical="top"/>
      <protection hidden="1"/>
    </xf>
    <xf numFmtId="0" fontId="4" fillId="0" borderId="28" xfId="51" applyFont="1" applyFill="1" applyBorder="1" applyAlignment="1" applyProtection="1">
      <alignment horizontal="center"/>
      <protection hidden="1"/>
    </xf>
    <xf numFmtId="49" fontId="5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ana.kostela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E51" sqref="E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248</v>
      </c>
      <c r="B1" s="182"/>
      <c r="C1" s="18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41" t="s">
        <v>324</v>
      </c>
      <c r="D6" s="14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41" t="s">
        <v>325</v>
      </c>
      <c r="D8" s="14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5" t="s">
        <v>253</v>
      </c>
      <c r="B10" s="146"/>
      <c r="C10" s="141" t="s">
        <v>326</v>
      </c>
      <c r="D10" s="14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7"/>
      <c r="B11" s="14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8" t="s">
        <v>327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51">
        <v>51410</v>
      </c>
      <c r="D14" s="152"/>
      <c r="E14" s="16"/>
      <c r="F14" s="148" t="s">
        <v>328</v>
      </c>
      <c r="G14" s="149"/>
      <c r="H14" s="149"/>
      <c r="I14" s="15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8" t="s">
        <v>329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61" t="s">
        <v>339</v>
      </c>
      <c r="D18" s="162"/>
      <c r="E18" s="162"/>
      <c r="F18" s="162"/>
      <c r="G18" s="162"/>
      <c r="H18" s="162"/>
      <c r="I18" s="16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61" t="s">
        <v>330</v>
      </c>
      <c r="D20" s="162"/>
      <c r="E20" s="162"/>
      <c r="F20" s="162"/>
      <c r="G20" s="162"/>
      <c r="H20" s="162"/>
      <c r="I20" s="16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302</v>
      </c>
      <c r="D22" s="148" t="s">
        <v>328</v>
      </c>
      <c r="E22" s="164"/>
      <c r="F22" s="165"/>
      <c r="G22" s="139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8</v>
      </c>
      <c r="D24" s="148" t="s">
        <v>331</v>
      </c>
      <c r="E24" s="164"/>
      <c r="F24" s="164"/>
      <c r="G24" s="165"/>
      <c r="H24" s="51" t="s">
        <v>261</v>
      </c>
      <c r="I24" s="122">
        <v>358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3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266</v>
      </c>
      <c r="I28" s="16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7"/>
      <c r="B30" s="168"/>
      <c r="C30" s="168"/>
      <c r="D30" s="171"/>
      <c r="E30" s="167"/>
      <c r="F30" s="168"/>
      <c r="G30" s="168"/>
      <c r="H30" s="141"/>
      <c r="I30" s="142"/>
      <c r="J30" s="10"/>
      <c r="K30" s="10"/>
      <c r="L30" s="10"/>
    </row>
    <row r="31" spans="1:12" ht="12.75">
      <c r="A31" s="94"/>
      <c r="B31" s="22"/>
      <c r="C31" s="21"/>
      <c r="D31" s="169"/>
      <c r="E31" s="169"/>
      <c r="F31" s="169"/>
      <c r="G31" s="170"/>
      <c r="H31" s="16"/>
      <c r="I31" s="101"/>
      <c r="J31" s="10"/>
      <c r="K31" s="10"/>
      <c r="L31" s="10"/>
    </row>
    <row r="32" spans="1:12" ht="12.75">
      <c r="A32" s="167"/>
      <c r="B32" s="168"/>
      <c r="C32" s="168"/>
      <c r="D32" s="171"/>
      <c r="E32" s="167"/>
      <c r="F32" s="168"/>
      <c r="G32" s="168"/>
      <c r="H32" s="141"/>
      <c r="I32" s="14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7"/>
      <c r="B34" s="168"/>
      <c r="C34" s="168"/>
      <c r="D34" s="171"/>
      <c r="E34" s="167"/>
      <c r="F34" s="168"/>
      <c r="G34" s="168"/>
      <c r="H34" s="141"/>
      <c r="I34" s="14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7"/>
      <c r="B36" s="168"/>
      <c r="C36" s="168"/>
      <c r="D36" s="171"/>
      <c r="E36" s="167"/>
      <c r="F36" s="168"/>
      <c r="G36" s="168"/>
      <c r="H36" s="141"/>
      <c r="I36" s="142"/>
      <c r="J36" s="10"/>
      <c r="K36" s="10"/>
      <c r="L36" s="10"/>
    </row>
    <row r="37" spans="1:12" ht="12.75">
      <c r="A37" s="103"/>
      <c r="B37" s="30"/>
      <c r="C37" s="176"/>
      <c r="D37" s="177"/>
      <c r="E37" s="16"/>
      <c r="F37" s="176"/>
      <c r="G37" s="177"/>
      <c r="H37" s="16"/>
      <c r="I37" s="95"/>
      <c r="J37" s="10"/>
      <c r="K37" s="10"/>
      <c r="L37" s="10"/>
    </row>
    <row r="38" spans="1:12" ht="12.75">
      <c r="A38" s="167"/>
      <c r="B38" s="168"/>
      <c r="C38" s="168"/>
      <c r="D38" s="171"/>
      <c r="E38" s="167"/>
      <c r="F38" s="168"/>
      <c r="G38" s="168"/>
      <c r="H38" s="141"/>
      <c r="I38" s="14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7"/>
      <c r="B40" s="168"/>
      <c r="C40" s="168"/>
      <c r="D40" s="171"/>
      <c r="E40" s="167"/>
      <c r="F40" s="168"/>
      <c r="G40" s="168"/>
      <c r="H40" s="141"/>
      <c r="I40" s="14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5" t="s">
        <v>267</v>
      </c>
      <c r="B44" s="172"/>
      <c r="C44" s="141"/>
      <c r="D44" s="142"/>
      <c r="E44" s="26"/>
      <c r="F44" s="148"/>
      <c r="G44" s="168"/>
      <c r="H44" s="168"/>
      <c r="I44" s="171"/>
      <c r="J44" s="10"/>
      <c r="K44" s="10"/>
      <c r="L44" s="10"/>
    </row>
    <row r="45" spans="1:12" ht="12.75">
      <c r="A45" s="103"/>
      <c r="B45" s="30"/>
      <c r="C45" s="176"/>
      <c r="D45" s="177"/>
      <c r="E45" s="16"/>
      <c r="F45" s="176"/>
      <c r="G45" s="184"/>
      <c r="H45" s="35"/>
      <c r="I45" s="107"/>
      <c r="J45" s="10"/>
      <c r="K45" s="10"/>
      <c r="L45" s="10"/>
    </row>
    <row r="46" spans="1:12" ht="12.75">
      <c r="A46" s="145" t="s">
        <v>268</v>
      </c>
      <c r="B46" s="172"/>
      <c r="C46" s="148" t="s">
        <v>334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5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5" t="s">
        <v>257</v>
      </c>
      <c r="B50" s="172"/>
      <c r="C50" s="192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343</v>
      </c>
      <c r="D52" s="174"/>
      <c r="E52" s="174"/>
      <c r="F52" s="174"/>
      <c r="G52" s="174"/>
      <c r="H52" s="174"/>
      <c r="I52" s="150"/>
      <c r="J52" s="10"/>
      <c r="K52" s="10"/>
      <c r="L52" s="10"/>
    </row>
    <row r="53" spans="1:12" ht="12.75">
      <c r="A53" s="108"/>
      <c r="B53" s="20"/>
      <c r="C53" s="183" t="s">
        <v>273</v>
      </c>
      <c r="D53" s="183"/>
      <c r="E53" s="183"/>
      <c r="F53" s="183"/>
      <c r="G53" s="183"/>
      <c r="H53" s="18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3" t="s">
        <v>274</v>
      </c>
      <c r="C55" s="194"/>
      <c r="D55" s="194"/>
      <c r="E55" s="19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78" t="s">
        <v>306</v>
      </c>
      <c r="C56" s="179"/>
      <c r="D56" s="179"/>
      <c r="E56" s="179"/>
      <c r="F56" s="179"/>
      <c r="G56" s="179"/>
      <c r="H56" s="179"/>
      <c r="I56" s="180"/>
      <c r="J56" s="10"/>
      <c r="K56" s="10"/>
      <c r="L56" s="10"/>
    </row>
    <row r="57" spans="1:12" ht="12.75">
      <c r="A57" s="108"/>
      <c r="B57" s="178" t="s">
        <v>307</v>
      </c>
      <c r="C57" s="179"/>
      <c r="D57" s="179"/>
      <c r="E57" s="179"/>
      <c r="F57" s="179"/>
      <c r="G57" s="179"/>
      <c r="H57" s="179"/>
      <c r="I57" s="110"/>
      <c r="J57" s="10"/>
      <c r="K57" s="10"/>
      <c r="L57" s="10"/>
    </row>
    <row r="58" spans="1:12" ht="12.75">
      <c r="A58" s="108"/>
      <c r="B58" s="178" t="s">
        <v>308</v>
      </c>
      <c r="C58" s="179"/>
      <c r="D58" s="179"/>
      <c r="E58" s="179"/>
      <c r="F58" s="179"/>
      <c r="G58" s="179"/>
      <c r="H58" s="179"/>
      <c r="I58" s="180"/>
      <c r="J58" s="10"/>
      <c r="K58" s="10"/>
      <c r="L58" s="10"/>
    </row>
    <row r="59" spans="1:12" ht="12.75">
      <c r="A59" s="108"/>
      <c r="B59" s="178" t="s">
        <v>309</v>
      </c>
      <c r="C59" s="179"/>
      <c r="D59" s="179"/>
      <c r="E59" s="179"/>
      <c r="F59" s="179"/>
      <c r="G59" s="179"/>
      <c r="H59" s="179"/>
      <c r="I59" s="18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7" t="s">
        <v>277</v>
      </c>
      <c r="H62" s="188"/>
      <c r="I62" s="18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0"/>
      <c r="H63" s="19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H38:I38"/>
    <mergeCell ref="H34:I34"/>
    <mergeCell ref="A36:D36"/>
    <mergeCell ref="E36:G36"/>
    <mergeCell ref="H36:I36"/>
    <mergeCell ref="A24:B24"/>
    <mergeCell ref="D24:G24"/>
    <mergeCell ref="A34:D34"/>
    <mergeCell ref="E34:G34"/>
    <mergeCell ref="A30:D30"/>
    <mergeCell ref="C20:I20"/>
    <mergeCell ref="A22:B22"/>
    <mergeCell ref="D22:F22"/>
    <mergeCell ref="G22:H22"/>
    <mergeCell ref="H30:I30"/>
    <mergeCell ref="E38:G38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16:B16"/>
    <mergeCell ref="C16:I16"/>
    <mergeCell ref="A18:B18"/>
    <mergeCell ref="C18:I18"/>
    <mergeCell ref="A20:B20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uzana.kostelac@aci-club.hr"/>
    <hyperlink ref="C20" r:id="rId2" display="www.aci-club.hr"/>
    <hyperlink ref="C50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">
      <selection activeCell="M54" sqref="M5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2" width="11.28125" style="52" bestFit="1" customWidth="1"/>
    <col min="13" max="13" width="11.8515625" style="52" bestFit="1" customWidth="1"/>
    <col min="14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8" t="s">
        <v>278</v>
      </c>
      <c r="J4" s="59" t="s">
        <v>319</v>
      </c>
      <c r="K4" s="60" t="s">
        <v>320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7">
        <v>2</v>
      </c>
      <c r="J5" s="56">
        <v>3</v>
      </c>
      <c r="K5" s="56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27"/>
      <c r="I7" s="3">
        <v>1</v>
      </c>
      <c r="J7" s="6"/>
      <c r="K7" s="6">
        <v>0</v>
      </c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128">
        <f>J9+J16+J26+J35+J39</f>
        <v>494647973</v>
      </c>
      <c r="K8" s="128">
        <f>K9+K16+K26+K35+K39</f>
        <v>484060361</v>
      </c>
    </row>
    <row r="9" spans="1:11" ht="12.75">
      <c r="A9" s="201" t="s">
        <v>205</v>
      </c>
      <c r="B9" s="202"/>
      <c r="C9" s="202"/>
      <c r="D9" s="202"/>
      <c r="E9" s="202"/>
      <c r="F9" s="202"/>
      <c r="G9" s="202"/>
      <c r="H9" s="203"/>
      <c r="I9" s="1">
        <v>3</v>
      </c>
      <c r="J9" s="128">
        <f>SUM(J10:J15)</f>
        <v>21554703</v>
      </c>
      <c r="K9" s="128">
        <f>SUM(K10:K15)</f>
        <v>25626433</v>
      </c>
    </row>
    <row r="10" spans="1:11" ht="12.75">
      <c r="A10" s="201" t="s">
        <v>112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>
        <v>0</v>
      </c>
    </row>
    <row r="11" spans="1:11" ht="12.75">
      <c r="A11" s="201" t="s">
        <v>14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20432679</v>
      </c>
      <c r="K11" s="7">
        <v>23737659</v>
      </c>
    </row>
    <row r="12" spans="1:11" ht="12.75">
      <c r="A12" s="201" t="s">
        <v>113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208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209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1122024</v>
      </c>
      <c r="K14" s="7">
        <v>1888774</v>
      </c>
    </row>
    <row r="15" spans="1:11" ht="12.75">
      <c r="A15" s="201" t="s">
        <v>210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206</v>
      </c>
      <c r="B16" s="202"/>
      <c r="C16" s="202"/>
      <c r="D16" s="202"/>
      <c r="E16" s="202"/>
      <c r="F16" s="202"/>
      <c r="G16" s="202"/>
      <c r="H16" s="203"/>
      <c r="I16" s="1">
        <v>10</v>
      </c>
      <c r="J16" s="128">
        <f>SUM(J17:J25)</f>
        <v>472943064</v>
      </c>
      <c r="K16" s="128">
        <f>SUM(K17:K25)</f>
        <v>458294034</v>
      </c>
    </row>
    <row r="17" spans="1:11" ht="12.75">
      <c r="A17" s="201" t="s">
        <v>211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17142651</v>
      </c>
      <c r="K17" s="7">
        <v>17142651</v>
      </c>
    </row>
    <row r="18" spans="1:11" ht="12.75">
      <c r="A18" s="201" t="s">
        <v>247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288316913</v>
      </c>
      <c r="K18" s="7">
        <v>276805733</v>
      </c>
    </row>
    <row r="19" spans="1:11" ht="12.75">
      <c r="A19" s="201" t="s">
        <v>212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35298129</v>
      </c>
      <c r="K19" s="7">
        <v>36603429</v>
      </c>
    </row>
    <row r="20" spans="1:11" ht="12.75">
      <c r="A20" s="201" t="s">
        <v>27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31018702</v>
      </c>
      <c r="K20" s="7">
        <v>31828164</v>
      </c>
    </row>
    <row r="21" spans="1:11" ht="12.75">
      <c r="A21" s="201" t="s">
        <v>28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0</v>
      </c>
      <c r="K21" s="7">
        <v>0</v>
      </c>
    </row>
    <row r="22" spans="1:11" ht="12.75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2495509</v>
      </c>
      <c r="K22" s="7">
        <v>588190</v>
      </c>
    </row>
    <row r="23" spans="1:11" ht="12.75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10015157</v>
      </c>
      <c r="K23" s="7">
        <v>13578066</v>
      </c>
    </row>
    <row r="24" spans="1:11" ht="12.75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1089019</v>
      </c>
      <c r="K24" s="7">
        <v>915614</v>
      </c>
    </row>
    <row r="25" spans="1:11" ht="12.75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87566984</v>
      </c>
      <c r="K25" s="7">
        <v>80832187</v>
      </c>
    </row>
    <row r="26" spans="1:11" ht="12.75">
      <c r="A26" s="201" t="s">
        <v>190</v>
      </c>
      <c r="B26" s="202"/>
      <c r="C26" s="202"/>
      <c r="D26" s="202"/>
      <c r="E26" s="202"/>
      <c r="F26" s="202"/>
      <c r="G26" s="202"/>
      <c r="H26" s="203"/>
      <c r="I26" s="1">
        <v>20</v>
      </c>
      <c r="J26" s="128">
        <f>SUM(J27:J34)</f>
        <v>150206</v>
      </c>
      <c r="K26" s="128">
        <f>SUM(K27:K34)</f>
        <v>139894</v>
      </c>
    </row>
    <row r="27" spans="1:11" ht="12.75">
      <c r="A27" s="201" t="s">
        <v>76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0</v>
      </c>
      <c r="K27" s="7">
        <v>0</v>
      </c>
    </row>
    <row r="28" spans="1:11" ht="12.75">
      <c r="A28" s="201" t="s">
        <v>77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0</v>
      </c>
      <c r="K28" s="7">
        <v>0</v>
      </c>
    </row>
    <row r="29" spans="1:11" ht="12.75">
      <c r="A29" s="201" t="s">
        <v>78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0</v>
      </c>
      <c r="K29" s="7">
        <v>0</v>
      </c>
    </row>
    <row r="30" spans="1:11" ht="12.75">
      <c r="A30" s="201" t="s">
        <v>83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84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37059</v>
      </c>
      <c r="K31" s="7">
        <v>37059</v>
      </c>
    </row>
    <row r="32" spans="1:11" ht="12.75">
      <c r="A32" s="201" t="s">
        <v>85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113147</v>
      </c>
      <c r="K32" s="7">
        <v>102835</v>
      </c>
    </row>
    <row r="33" spans="1:11" ht="12.75">
      <c r="A33" s="201" t="s">
        <v>79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0</v>
      </c>
      <c r="K33" s="7">
        <v>0</v>
      </c>
    </row>
    <row r="34" spans="1:11" ht="12.75">
      <c r="A34" s="201" t="s">
        <v>183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184</v>
      </c>
      <c r="B35" s="202"/>
      <c r="C35" s="202"/>
      <c r="D35" s="202"/>
      <c r="E35" s="202"/>
      <c r="F35" s="202"/>
      <c r="G35" s="202"/>
      <c r="H35" s="203"/>
      <c r="I35" s="1">
        <v>29</v>
      </c>
      <c r="J35" s="128">
        <f>SUM(J36:J38)</f>
        <v>0</v>
      </c>
      <c r="K35" s="128">
        <f>SUM(K36:K38)</f>
        <v>0</v>
      </c>
    </row>
    <row r="36" spans="1:11" ht="12.75">
      <c r="A36" s="201" t="s">
        <v>80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81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0</v>
      </c>
      <c r="K37" s="7">
        <v>0</v>
      </c>
    </row>
    <row r="38" spans="1:11" ht="12.75">
      <c r="A38" s="201" t="s">
        <v>82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ht="12.75">
      <c r="A39" s="201" t="s">
        <v>185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0</v>
      </c>
      <c r="K39" s="7">
        <v>0</v>
      </c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128">
        <f>J41+J49+J56+J64</f>
        <v>33372574</v>
      </c>
      <c r="K40" s="128">
        <f>K41+K49+K56+K64</f>
        <v>64230699</v>
      </c>
    </row>
    <row r="41" spans="1:11" ht="12.75">
      <c r="A41" s="201" t="s">
        <v>100</v>
      </c>
      <c r="B41" s="202"/>
      <c r="C41" s="202"/>
      <c r="D41" s="202"/>
      <c r="E41" s="202"/>
      <c r="F41" s="202"/>
      <c r="G41" s="202"/>
      <c r="H41" s="203"/>
      <c r="I41" s="1">
        <v>35</v>
      </c>
      <c r="J41" s="128">
        <f>SUM(J42:J48)</f>
        <v>1584450</v>
      </c>
      <c r="K41" s="128">
        <f>SUM(K42:K48)</f>
        <v>2183196</v>
      </c>
    </row>
    <row r="42" spans="1:11" ht="12.75">
      <c r="A42" s="201" t="s">
        <v>117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29160</v>
      </c>
      <c r="K42" s="7">
        <v>139600</v>
      </c>
    </row>
    <row r="43" spans="1:11" ht="12.75">
      <c r="A43" s="201" t="s">
        <v>118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0</v>
      </c>
    </row>
    <row r="44" spans="1:11" ht="12.75">
      <c r="A44" s="201" t="s">
        <v>86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0</v>
      </c>
      <c r="K44" s="7">
        <v>0</v>
      </c>
    </row>
    <row r="45" spans="1:11" ht="12.75">
      <c r="A45" s="201" t="s">
        <v>87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433227</v>
      </c>
      <c r="K45" s="7">
        <v>1291417</v>
      </c>
    </row>
    <row r="46" spans="1:11" ht="12.75">
      <c r="A46" s="201" t="s">
        <v>88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897702</v>
      </c>
      <c r="K46" s="7">
        <v>752179</v>
      </c>
    </row>
    <row r="47" spans="1:11" ht="12.75">
      <c r="A47" s="201" t="s">
        <v>89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224361</v>
      </c>
      <c r="K47" s="7">
        <v>0</v>
      </c>
    </row>
    <row r="48" spans="1:11" ht="12.75">
      <c r="A48" s="201" t="s">
        <v>90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ht="12.75">
      <c r="A49" s="201" t="s">
        <v>101</v>
      </c>
      <c r="B49" s="202"/>
      <c r="C49" s="202"/>
      <c r="D49" s="202"/>
      <c r="E49" s="202"/>
      <c r="F49" s="202"/>
      <c r="G49" s="202"/>
      <c r="H49" s="203"/>
      <c r="I49" s="1">
        <v>43</v>
      </c>
      <c r="J49" s="128">
        <f>SUM(J50:J55)</f>
        <v>5680204</v>
      </c>
      <c r="K49" s="128">
        <f>SUM(K50:K55)</f>
        <v>7686964</v>
      </c>
    </row>
    <row r="50" spans="1:11" ht="12.75">
      <c r="A50" s="201" t="s">
        <v>200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0</v>
      </c>
      <c r="K50" s="7">
        <v>0</v>
      </c>
    </row>
    <row r="51" spans="1:11" ht="12.75">
      <c r="A51" s="201" t="s">
        <v>201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3764405</v>
      </c>
      <c r="K51" s="7">
        <v>4426987</v>
      </c>
    </row>
    <row r="52" spans="1:11" ht="12.75">
      <c r="A52" s="201" t="s">
        <v>202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0</v>
      </c>
      <c r="K52" s="7">
        <v>0</v>
      </c>
    </row>
    <row r="53" spans="1:11" ht="12.75">
      <c r="A53" s="201" t="s">
        <v>203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27130</v>
      </c>
      <c r="K53" s="7">
        <v>15610</v>
      </c>
    </row>
    <row r="54" spans="1:11" ht="12.75">
      <c r="A54" s="201" t="s">
        <v>10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1537159</v>
      </c>
      <c r="K54" s="7">
        <f>6577674-5804851</f>
        <v>772823</v>
      </c>
    </row>
    <row r="55" spans="1:11" ht="12.75">
      <c r="A55" s="201" t="s">
        <v>11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351510</v>
      </c>
      <c r="K55" s="7">
        <v>2471544</v>
      </c>
    </row>
    <row r="56" spans="1:11" ht="12.75">
      <c r="A56" s="201" t="s">
        <v>102</v>
      </c>
      <c r="B56" s="202"/>
      <c r="C56" s="202"/>
      <c r="D56" s="202"/>
      <c r="E56" s="202"/>
      <c r="F56" s="202"/>
      <c r="G56" s="202"/>
      <c r="H56" s="203"/>
      <c r="I56" s="1">
        <v>50</v>
      </c>
      <c r="J56" s="128">
        <f>SUM(J57:J63)</f>
        <v>22667336</v>
      </c>
      <c r="K56" s="128">
        <f>SUM(K57:K63)</f>
        <v>52891814</v>
      </c>
    </row>
    <row r="57" spans="1:11" ht="12.75">
      <c r="A57" s="201" t="s">
        <v>76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77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0</v>
      </c>
      <c r="K58" s="7">
        <v>0</v>
      </c>
    </row>
    <row r="59" spans="1:11" ht="12.75">
      <c r="A59" s="201" t="s">
        <v>242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76076</v>
      </c>
      <c r="K59" s="7">
        <v>72446</v>
      </c>
    </row>
    <row r="60" spans="1:11" ht="12.75">
      <c r="A60" s="201" t="s">
        <v>83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84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85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22591260</v>
      </c>
      <c r="K62" s="7">
        <v>52819368</v>
      </c>
    </row>
    <row r="63" spans="1:11" ht="12.75">
      <c r="A63" s="201" t="s">
        <v>46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0</v>
      </c>
      <c r="K63" s="7">
        <v>0</v>
      </c>
    </row>
    <row r="64" spans="1:11" ht="12.75">
      <c r="A64" s="201" t="s">
        <v>207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3440584</v>
      </c>
      <c r="K64" s="7">
        <v>1468725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2554972</v>
      </c>
      <c r="K65" s="7">
        <v>2937401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128">
        <f>J7+J8+J40+J65</f>
        <v>530575519</v>
      </c>
      <c r="K66" s="128">
        <f>K7+K8+K40+K65</f>
        <v>551228461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211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27"/>
      <c r="I69" s="3">
        <v>62</v>
      </c>
      <c r="J69" s="129">
        <f>J70+J71+J72+J78+J79+J82+J85</f>
        <v>423257240</v>
      </c>
      <c r="K69" s="129">
        <f>K70+K71+K72+K78+K79+K82+K85</f>
        <v>446476646</v>
      </c>
    </row>
    <row r="70" spans="1:11" ht="12.75">
      <c r="A70" s="201" t="s">
        <v>141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399816000</v>
      </c>
      <c r="K70" s="7">
        <v>399816000</v>
      </c>
    </row>
    <row r="71" spans="1:11" ht="12.75">
      <c r="A71" s="201" t="s">
        <v>142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0</v>
      </c>
      <c r="K71" s="7">
        <v>0</v>
      </c>
    </row>
    <row r="72" spans="1:11" ht="12.75">
      <c r="A72" s="201" t="s">
        <v>143</v>
      </c>
      <c r="B72" s="202"/>
      <c r="C72" s="202"/>
      <c r="D72" s="202"/>
      <c r="E72" s="202"/>
      <c r="F72" s="202"/>
      <c r="G72" s="202"/>
      <c r="H72" s="203"/>
      <c r="I72" s="1">
        <v>65</v>
      </c>
      <c r="J72" s="128">
        <f>J73+J74-J75+J76+J77</f>
        <v>0</v>
      </c>
      <c r="K72" s="128">
        <f>K73+K74-K75+K76+K77</f>
        <v>19990800</v>
      </c>
    </row>
    <row r="73" spans="1:11" ht="12.75">
      <c r="A73" s="201" t="s">
        <v>144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0</v>
      </c>
      <c r="K73" s="7">
        <v>19990800</v>
      </c>
    </row>
    <row r="74" spans="1:11" ht="12.75">
      <c r="A74" s="201" t="s">
        <v>145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0</v>
      </c>
      <c r="K74" s="7">
        <v>0</v>
      </c>
    </row>
    <row r="75" spans="1:11" ht="12.75">
      <c r="A75" s="201" t="s">
        <v>133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0</v>
      </c>
      <c r="K75" s="7">
        <v>0</v>
      </c>
    </row>
    <row r="76" spans="1:11" ht="12.75">
      <c r="A76" s="201" t="s">
        <v>134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135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0</v>
      </c>
      <c r="K77" s="7">
        <v>0</v>
      </c>
    </row>
    <row r="78" spans="1:11" ht="12.75">
      <c r="A78" s="201" t="s">
        <v>136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0</v>
      </c>
      <c r="K78" s="7">
        <v>0</v>
      </c>
    </row>
    <row r="79" spans="1:11" ht="12.75">
      <c r="A79" s="201" t="s">
        <v>238</v>
      </c>
      <c r="B79" s="202"/>
      <c r="C79" s="202"/>
      <c r="D79" s="202"/>
      <c r="E79" s="202"/>
      <c r="F79" s="202"/>
      <c r="G79" s="202"/>
      <c r="H79" s="203"/>
      <c r="I79" s="1">
        <v>72</v>
      </c>
      <c r="J79" s="128">
        <f>J80-J81</f>
        <v>-1056309</v>
      </c>
      <c r="K79" s="128">
        <f>K80-K81</f>
        <v>3450440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0</v>
      </c>
      <c r="K80" s="7">
        <v>3450440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1056309</v>
      </c>
      <c r="K81" s="7">
        <v>0</v>
      </c>
    </row>
    <row r="82" spans="1:11" ht="12.75">
      <c r="A82" s="201" t="s">
        <v>239</v>
      </c>
      <c r="B82" s="202"/>
      <c r="C82" s="202"/>
      <c r="D82" s="202"/>
      <c r="E82" s="202"/>
      <c r="F82" s="202"/>
      <c r="G82" s="202"/>
      <c r="H82" s="203"/>
      <c r="I82" s="1">
        <v>75</v>
      </c>
      <c r="J82" s="128">
        <f>J83-J84</f>
        <v>24497549</v>
      </c>
      <c r="K82" s="128">
        <f>K83-K84</f>
        <v>23219406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24497549</v>
      </c>
      <c r="K83" s="7">
        <f>29024257-5804851</f>
        <v>23219406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0</v>
      </c>
      <c r="K84" s="7">
        <v>0</v>
      </c>
    </row>
    <row r="85" spans="1:11" ht="12.75">
      <c r="A85" s="201" t="s">
        <v>173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128">
        <f>SUM(J87:J89)</f>
        <v>16788831</v>
      </c>
      <c r="K86" s="128">
        <f>SUM(K87:K89)</f>
        <v>15318097</v>
      </c>
    </row>
    <row r="87" spans="1:11" ht="12.75">
      <c r="A87" s="201" t="s">
        <v>129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0</v>
      </c>
    </row>
    <row r="88" spans="1:11" ht="12.75">
      <c r="A88" s="201" t="s">
        <v>130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131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16788831</v>
      </c>
      <c r="K89" s="7">
        <v>15318097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128">
        <f>SUM(J91:J99)</f>
        <v>25951845</v>
      </c>
      <c r="K90" s="128">
        <f>SUM(K91:K99)</f>
        <v>27227380</v>
      </c>
    </row>
    <row r="91" spans="1:11" ht="12.75">
      <c r="A91" s="201" t="s">
        <v>132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243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0</v>
      </c>
      <c r="K92" s="7">
        <v>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9778650</v>
      </c>
      <c r="K93" s="7">
        <v>7348795</v>
      </c>
    </row>
    <row r="94" spans="1:11" ht="12.75">
      <c r="A94" s="201" t="s">
        <v>244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245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0</v>
      </c>
      <c r="K95" s="7">
        <v>0</v>
      </c>
    </row>
    <row r="96" spans="1:11" ht="12.75">
      <c r="A96" s="201" t="s">
        <v>246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94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ht="12.75">
      <c r="A98" s="201" t="s">
        <v>92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16173195</v>
      </c>
      <c r="K98" s="7">
        <v>19878585</v>
      </c>
    </row>
    <row r="99" spans="1:11" ht="12.75">
      <c r="A99" s="201" t="s">
        <v>93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0</v>
      </c>
      <c r="K99" s="7">
        <v>0</v>
      </c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128">
        <f>SUM(J101:J112)</f>
        <v>62114927</v>
      </c>
      <c r="K100" s="128">
        <f>SUM(K101:K112)</f>
        <v>58507856</v>
      </c>
    </row>
    <row r="101" spans="1:11" ht="12.75">
      <c r="A101" s="201" t="s">
        <v>132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0</v>
      </c>
      <c r="K101" s="7">
        <v>0</v>
      </c>
    </row>
    <row r="102" spans="1:11" ht="12.75">
      <c r="A102" s="201" t="s">
        <v>243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0</v>
      </c>
      <c r="K102" s="7">
        <v>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5544662</v>
      </c>
      <c r="K103" s="7">
        <v>2449598</v>
      </c>
    </row>
    <row r="104" spans="1:11" ht="12.75">
      <c r="A104" s="201" t="s">
        <v>244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44960164</v>
      </c>
      <c r="K104" s="7">
        <v>44147483</v>
      </c>
    </row>
    <row r="105" spans="1:11" ht="12.75">
      <c r="A105" s="201" t="s">
        <v>245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4757155</v>
      </c>
      <c r="K105" s="7">
        <v>5560984</v>
      </c>
    </row>
    <row r="106" spans="1:11" ht="12.75">
      <c r="A106" s="201" t="s">
        <v>246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94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0</v>
      </c>
      <c r="K107" s="7">
        <v>0</v>
      </c>
    </row>
    <row r="108" spans="1:11" ht="12.75">
      <c r="A108" s="201" t="s">
        <v>95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2160022</v>
      </c>
      <c r="K108" s="7">
        <v>2427328</v>
      </c>
    </row>
    <row r="109" spans="1:13" ht="12.75">
      <c r="A109" s="201" t="s">
        <v>96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4493084</v>
      </c>
      <c r="K109" s="7">
        <v>3746787</v>
      </c>
      <c r="M109" s="132"/>
    </row>
    <row r="110" spans="1:13" ht="12.75">
      <c r="A110" s="201" t="s">
        <v>99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0</v>
      </c>
      <c r="K110" s="7">
        <v>0</v>
      </c>
      <c r="M110" s="132"/>
    </row>
    <row r="111" spans="1:11" ht="12.75">
      <c r="A111" s="201" t="s">
        <v>97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98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199840</v>
      </c>
      <c r="K112" s="7">
        <v>175676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2462676</v>
      </c>
      <c r="K113" s="7">
        <v>3698482</v>
      </c>
    </row>
    <row r="114" spans="1:12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128">
        <f>J69+J86+J90+J100+J113</f>
        <v>530575519</v>
      </c>
      <c r="K114" s="128">
        <f>K69+K86+K90+K100+K113</f>
        <v>551228461</v>
      </c>
      <c r="L114" s="131"/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>
        <v>0</v>
      </c>
      <c r="K115" s="8">
        <v>0</v>
      </c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01" t="s">
        <v>8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.75">
      <c r="A120" s="204" t="s">
        <v>311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1:K1"/>
    <mergeCell ref="A2:K2"/>
    <mergeCell ref="A3:K3"/>
    <mergeCell ref="A4:H4"/>
    <mergeCell ref="A9:H9"/>
    <mergeCell ref="A10:H10"/>
    <mergeCell ref="A11:H11"/>
    <mergeCell ref="A12:H12"/>
    <mergeCell ref="A13:H13"/>
    <mergeCell ref="A5:H5"/>
    <mergeCell ref="A6:K6"/>
    <mergeCell ref="A7:H7"/>
    <mergeCell ref="A8:H8"/>
    <mergeCell ref="A23:H23"/>
    <mergeCell ref="A24:H24"/>
    <mergeCell ref="A17:H17"/>
    <mergeCell ref="A18:H18"/>
    <mergeCell ref="A19:H19"/>
    <mergeCell ref="A20:H20"/>
    <mergeCell ref="A21:H21"/>
    <mergeCell ref="A22:H22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35:H35"/>
    <mergeCell ref="A36:H36"/>
    <mergeCell ref="A49:H49"/>
    <mergeCell ref="A50:H50"/>
    <mergeCell ref="A51:H51"/>
    <mergeCell ref="A44:H44"/>
    <mergeCell ref="A52:H52"/>
    <mergeCell ref="A53:H53"/>
    <mergeCell ref="A45:H45"/>
    <mergeCell ref="A46:H46"/>
    <mergeCell ref="A47:H47"/>
    <mergeCell ref="A48:H48"/>
    <mergeCell ref="A63:H63"/>
    <mergeCell ref="A64:H64"/>
    <mergeCell ref="A57:H57"/>
    <mergeCell ref="A58:H58"/>
    <mergeCell ref="A59:H59"/>
    <mergeCell ref="A60:H60"/>
    <mergeCell ref="A61:H61"/>
    <mergeCell ref="A62:H62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84:H84"/>
    <mergeCell ref="A72:H72"/>
    <mergeCell ref="A65:H65"/>
    <mergeCell ref="A66:H66"/>
    <mergeCell ref="A67:H67"/>
    <mergeCell ref="A68:K68"/>
    <mergeCell ref="A77:H77"/>
    <mergeCell ref="A69:H69"/>
    <mergeCell ref="A70:H70"/>
    <mergeCell ref="A71:H71"/>
    <mergeCell ref="A74:H74"/>
    <mergeCell ref="A75:H75"/>
    <mergeCell ref="A76:H76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121:K121"/>
    <mergeCell ref="A115:H115"/>
    <mergeCell ref="A116:K116"/>
    <mergeCell ref="A117:K117"/>
    <mergeCell ref="A118:H118"/>
    <mergeCell ref="A120:K120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113:H113"/>
    <mergeCell ref="A114:H114"/>
    <mergeCell ref="A119:H119"/>
    <mergeCell ref="A104:H104"/>
    <mergeCell ref="A111:H111"/>
    <mergeCell ref="A112:H112"/>
    <mergeCell ref="A105:H105"/>
    <mergeCell ref="A106:H106"/>
    <mergeCell ref="A107:H107"/>
    <mergeCell ref="A108:H10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0:K70 J72:K77 J79:K8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43">
      <selection activeCell="N8" sqref="N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2.28125" style="52" customWidth="1"/>
    <col min="15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6" t="s">
        <v>342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56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 ht="12.75">
      <c r="A7" s="215" t="s">
        <v>26</v>
      </c>
      <c r="B7" s="216"/>
      <c r="C7" s="216"/>
      <c r="D7" s="216"/>
      <c r="E7" s="216"/>
      <c r="F7" s="216"/>
      <c r="G7" s="216"/>
      <c r="H7" s="227"/>
      <c r="I7" s="3">
        <v>111</v>
      </c>
      <c r="J7" s="129">
        <f>SUM(J8:J9)</f>
        <v>185909104</v>
      </c>
      <c r="K7" s="54">
        <f>SUM(K8:K9)</f>
        <v>33501829</v>
      </c>
      <c r="L7" s="129">
        <f>SUM(L8:L9)</f>
        <v>195976927</v>
      </c>
      <c r="M7" s="54">
        <f>SUM(M8:M9)</f>
        <v>35464955</v>
      </c>
      <c r="N7" s="131"/>
    </row>
    <row r="8" spans="1:14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170562450</v>
      </c>
      <c r="K8" s="7">
        <f>+J8-141709656</f>
        <v>28852794</v>
      </c>
      <c r="L8" s="7">
        <v>175463243</v>
      </c>
      <c r="M8" s="7">
        <f>+L8-144052995</f>
        <v>31410248</v>
      </c>
      <c r="N8" s="131"/>
    </row>
    <row r="9" spans="1:14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15346654</v>
      </c>
      <c r="K9" s="7">
        <f>+J9-10697619</f>
        <v>4649035</v>
      </c>
      <c r="L9" s="7">
        <v>20513684</v>
      </c>
      <c r="M9" s="7">
        <f>+L9-16458977</f>
        <v>4054707</v>
      </c>
      <c r="N9" s="131"/>
    </row>
    <row r="10" spans="1:14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128">
        <f>J11+J12+J16+J20+J21+J22+J25+J26</f>
        <v>155282004</v>
      </c>
      <c r="K10" s="53">
        <f>K11+K12+K16+K20+K21+K22+K25+K26</f>
        <v>43346948</v>
      </c>
      <c r="L10" s="128">
        <f>L11+L12+L16+L20+L21+L22+L25+L26</f>
        <v>169555015</v>
      </c>
      <c r="M10" s="53">
        <f>M11+M12+M16+M20+M21+M22+M25+M26</f>
        <v>45799169</v>
      </c>
      <c r="N10" s="131"/>
    </row>
    <row r="11" spans="1:14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31"/>
    </row>
    <row r="12" spans="1:14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128">
        <f>SUM(J13:J15)</f>
        <v>43165680</v>
      </c>
      <c r="K12" s="53">
        <f>SUM(K13:K15)</f>
        <v>9282773</v>
      </c>
      <c r="L12" s="128">
        <f>SUM(L13:L15)</f>
        <v>46747851</v>
      </c>
      <c r="M12" s="53">
        <f>SUM(M13:M15)</f>
        <v>11354631</v>
      </c>
      <c r="N12" s="131"/>
    </row>
    <row r="13" spans="1:14" ht="12.75">
      <c r="A13" s="201" t="s">
        <v>146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14394019</v>
      </c>
      <c r="K13" s="7">
        <f>+J13-12092078</f>
        <v>2301941</v>
      </c>
      <c r="L13" s="7">
        <v>14516253</v>
      </c>
      <c r="M13" s="7">
        <f>+L13-11559300</f>
        <v>2956953</v>
      </c>
      <c r="N13" s="131"/>
    </row>
    <row r="14" spans="1:14" ht="12.75">
      <c r="A14" s="201" t="s">
        <v>147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210045</v>
      </c>
      <c r="K14" s="7">
        <f>+J14-182581</f>
        <v>27464</v>
      </c>
      <c r="L14" s="7">
        <v>179967</v>
      </c>
      <c r="M14" s="7">
        <f>+L14-151088</f>
        <v>28879</v>
      </c>
      <c r="N14" s="131"/>
    </row>
    <row r="15" spans="1:14" ht="12.75">
      <c r="A15" s="201" t="s">
        <v>61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28561616</v>
      </c>
      <c r="K15" s="7">
        <f>+J15-21608248</f>
        <v>6953368</v>
      </c>
      <c r="L15" s="7">
        <v>32051631</v>
      </c>
      <c r="M15" s="7">
        <f>+L15-23682832</f>
        <v>8368799</v>
      </c>
      <c r="N15" s="131"/>
    </row>
    <row r="16" spans="1:14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128">
        <f>SUM(J17:J19)</f>
        <v>46628228</v>
      </c>
      <c r="K16" s="53">
        <f>SUM(K17:K19)</f>
        <v>12172506</v>
      </c>
      <c r="L16" s="128">
        <f>SUM(L17:L19)</f>
        <v>47827062</v>
      </c>
      <c r="M16" s="53">
        <f>SUM(M17:M19)</f>
        <v>12838669</v>
      </c>
      <c r="N16" s="131"/>
    </row>
    <row r="17" spans="1:14" ht="12.75">
      <c r="A17" s="201" t="s">
        <v>62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28011397</v>
      </c>
      <c r="K17" s="7">
        <f>+J17-20758146</f>
        <v>7253251</v>
      </c>
      <c r="L17" s="7">
        <v>28830391</v>
      </c>
      <c r="M17" s="7">
        <f>+L17-21162723</f>
        <v>7667668</v>
      </c>
      <c r="N17" s="131"/>
    </row>
    <row r="18" spans="1:14" ht="12.75">
      <c r="A18" s="201" t="s">
        <v>63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11773068</v>
      </c>
      <c r="K18" s="7">
        <f>+J18-8641172</f>
        <v>3131896</v>
      </c>
      <c r="L18" s="7">
        <v>12479157</v>
      </c>
      <c r="M18" s="7">
        <f>+L18-9003518</f>
        <v>3475639</v>
      </c>
      <c r="N18" s="131"/>
    </row>
    <row r="19" spans="1:14" ht="12.75">
      <c r="A19" s="201" t="s">
        <v>64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6843763</v>
      </c>
      <c r="K19" s="7">
        <f>+J19-5056404</f>
        <v>1787359</v>
      </c>
      <c r="L19" s="7">
        <v>6517514</v>
      </c>
      <c r="M19" s="7">
        <f>+L19-4822152</f>
        <v>1695362</v>
      </c>
      <c r="N19" s="131"/>
    </row>
    <row r="20" spans="1:14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44419837</v>
      </c>
      <c r="K20" s="7">
        <f>+J20-30201247</f>
        <v>14218590</v>
      </c>
      <c r="L20" s="7">
        <v>52048768</v>
      </c>
      <c r="M20" s="7">
        <f>+L20-38604540</f>
        <v>13444228</v>
      </c>
      <c r="N20" s="131"/>
    </row>
    <row r="21" spans="1:14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16118581</v>
      </c>
      <c r="K21" s="7">
        <f>+J21-11993433</f>
        <v>4125148</v>
      </c>
      <c r="L21" s="7">
        <v>16346340</v>
      </c>
      <c r="M21" s="7">
        <f>+L21-12959240</f>
        <v>3387100</v>
      </c>
      <c r="N21" s="131"/>
    </row>
    <row r="22" spans="1:14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128">
        <f>SUM(J23:J24)</f>
        <v>2326604</v>
      </c>
      <c r="K22" s="53">
        <f>SUM(K23:K24)</f>
        <v>2326604</v>
      </c>
      <c r="L22" s="128">
        <f>SUM(L23:L24)</f>
        <v>2218616</v>
      </c>
      <c r="M22" s="53">
        <f>SUM(M23:M24)</f>
        <v>2218616</v>
      </c>
      <c r="N22" s="131"/>
    </row>
    <row r="23" spans="1:14" ht="12.75">
      <c r="A23" s="201" t="s">
        <v>137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31"/>
    </row>
    <row r="24" spans="1:14" ht="12.75">
      <c r="A24" s="201" t="s">
        <v>138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2326604</v>
      </c>
      <c r="K24" s="7">
        <f>+J24</f>
        <v>2326604</v>
      </c>
      <c r="L24" s="7">
        <v>2218616</v>
      </c>
      <c r="M24" s="7">
        <f>+L24</f>
        <v>2218616</v>
      </c>
      <c r="N24" s="131"/>
    </row>
    <row r="25" spans="1:14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355000</v>
      </c>
      <c r="K25" s="7">
        <f>+J25</f>
        <v>355000</v>
      </c>
      <c r="L25" s="7">
        <v>1761924</v>
      </c>
      <c r="M25" s="7">
        <f>+L25</f>
        <v>1761924</v>
      </c>
      <c r="N25" s="131"/>
    </row>
    <row r="26" spans="1:14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2268074</v>
      </c>
      <c r="K26" s="7">
        <f>+J26-1401747</f>
        <v>866327</v>
      </c>
      <c r="L26" s="7">
        <v>2604454</v>
      </c>
      <c r="M26" s="7">
        <f>+L26-1810453</f>
        <v>794001</v>
      </c>
      <c r="N26" s="131"/>
    </row>
    <row r="27" spans="1:14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128">
        <f>SUM(J28:J32)</f>
        <v>4241572</v>
      </c>
      <c r="K27" s="53">
        <f>SUM(K28:K32)</f>
        <v>2820798</v>
      </c>
      <c r="L27" s="128">
        <f>SUM(L28:L32)</f>
        <v>4664035</v>
      </c>
      <c r="M27" s="53">
        <f>SUM(M28:M32)</f>
        <v>1746587</v>
      </c>
      <c r="N27" s="131"/>
    </row>
    <row r="28" spans="1:14" ht="29.25" customHeight="1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0</v>
      </c>
      <c r="K28" s="7">
        <v>0</v>
      </c>
      <c r="L28" s="7">
        <v>0</v>
      </c>
      <c r="M28" s="7">
        <v>0</v>
      </c>
      <c r="N28" s="131"/>
    </row>
    <row r="29" spans="1:14" ht="27" customHeight="1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4238736</v>
      </c>
      <c r="K29" s="7">
        <f>+J29-1417938</f>
        <v>2820798</v>
      </c>
      <c r="L29" s="7">
        <v>4663405</v>
      </c>
      <c r="M29" s="7">
        <f>+L29-2917448</f>
        <v>1745957</v>
      </c>
      <c r="N29" s="131"/>
    </row>
    <row r="30" spans="1:14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31"/>
    </row>
    <row r="31" spans="1:14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2836</v>
      </c>
      <c r="K31" s="7">
        <v>0</v>
      </c>
      <c r="L31" s="7">
        <v>630</v>
      </c>
      <c r="M31" s="7">
        <f>+L31</f>
        <v>630</v>
      </c>
      <c r="N31" s="131"/>
    </row>
    <row r="32" spans="1:14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31"/>
    </row>
    <row r="33" spans="1:14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128">
        <f>SUM(J34:J37)</f>
        <v>3846664</v>
      </c>
      <c r="K33" s="53">
        <f>SUM(K34:K37)</f>
        <v>2957058</v>
      </c>
      <c r="L33" s="128">
        <f>SUM(L34:L37)</f>
        <v>2061690</v>
      </c>
      <c r="M33" s="53">
        <f>SUM(M34:M37)</f>
        <v>992732</v>
      </c>
      <c r="N33" s="131"/>
    </row>
    <row r="34" spans="1:14" ht="14.25" customHeight="1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31"/>
    </row>
    <row r="35" spans="1:14" ht="26.25" customHeight="1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3828770</v>
      </c>
      <c r="K35" s="7">
        <f>+J35-889156</f>
        <v>2939614</v>
      </c>
      <c r="L35" s="7">
        <v>2057429</v>
      </c>
      <c r="M35" s="7">
        <f>+L35-1068958</f>
        <v>988471</v>
      </c>
      <c r="N35" s="131"/>
    </row>
    <row r="36" spans="1:14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17894</v>
      </c>
      <c r="K36" s="7">
        <f>+J36-450</f>
        <v>17444</v>
      </c>
      <c r="L36" s="7">
        <v>4261</v>
      </c>
      <c r="M36" s="7">
        <f>+L36</f>
        <v>4261</v>
      </c>
      <c r="N36" s="131"/>
    </row>
    <row r="37" spans="1:14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31"/>
    </row>
    <row r="38" spans="1:14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31"/>
    </row>
    <row r="39" spans="1:14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31"/>
    </row>
    <row r="40" spans="1:14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31"/>
    </row>
    <row r="41" spans="1:14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31"/>
    </row>
    <row r="42" spans="1:14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128">
        <f>J7+J27+J38+J40</f>
        <v>190150676</v>
      </c>
      <c r="K42" s="53">
        <f>K7+K27+K38+K40</f>
        <v>36322627</v>
      </c>
      <c r="L42" s="128">
        <f>L7+L27+L38+L40</f>
        <v>200640962</v>
      </c>
      <c r="M42" s="53">
        <f>M7+M27+M38+M40</f>
        <v>37211542</v>
      </c>
      <c r="N42" s="131"/>
    </row>
    <row r="43" spans="1:14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128">
        <f>J10+J33+J39+J41</f>
        <v>159128668</v>
      </c>
      <c r="K43" s="53">
        <f>K10+K33+K39+K41</f>
        <v>46304006</v>
      </c>
      <c r="L43" s="128">
        <f>L10+L33+L39+L41</f>
        <v>171616705</v>
      </c>
      <c r="M43" s="53">
        <f>M10+M33+M39+M41</f>
        <v>46791901</v>
      </c>
      <c r="N43" s="131"/>
    </row>
    <row r="44" spans="1:14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128">
        <f>J42-J43</f>
        <v>31022008</v>
      </c>
      <c r="K44" s="53">
        <f>K42-K43</f>
        <v>-9981379</v>
      </c>
      <c r="L44" s="128">
        <f>L42-L43</f>
        <v>29024257</v>
      </c>
      <c r="M44" s="53">
        <f>M42-M43</f>
        <v>-9580359</v>
      </c>
      <c r="N44" s="131"/>
    </row>
    <row r="45" spans="1:14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128">
        <f>IF(J42&gt;J43,J42-J43,0)</f>
        <v>31022008</v>
      </c>
      <c r="K45" s="53">
        <f>IF(K42&gt;K43,K42-K43,0)</f>
        <v>0</v>
      </c>
      <c r="L45" s="128">
        <f>IF(L42&gt;L43,L42-L43,0)</f>
        <v>29024257</v>
      </c>
      <c r="M45" s="53">
        <f>IF(M42&gt;M43,M42-M43,0)</f>
        <v>0</v>
      </c>
      <c r="N45" s="131"/>
    </row>
    <row r="46" spans="1:14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128">
        <f>IF(J43&gt;J42,J43-J42,0)</f>
        <v>0</v>
      </c>
      <c r="K46" s="53">
        <f>IF(K43&gt;K42,K43-K42,0)</f>
        <v>9981379</v>
      </c>
      <c r="L46" s="128">
        <f>IF(L43&gt;L42,L43-L42,0)</f>
        <v>0</v>
      </c>
      <c r="M46" s="53">
        <f>IF(M43&gt;M42,M43-M42,0)</f>
        <v>9580359</v>
      </c>
      <c r="N46" s="131"/>
    </row>
    <row r="47" spans="1:14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6524459</v>
      </c>
      <c r="K47" s="7">
        <f>+J47</f>
        <v>6524459</v>
      </c>
      <c r="L47" s="7">
        <v>5804851</v>
      </c>
      <c r="M47" s="7">
        <f>+L47</f>
        <v>5804851</v>
      </c>
      <c r="N47" s="131"/>
    </row>
    <row r="48" spans="1:14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128">
        <f>J44-J47</f>
        <v>24497549</v>
      </c>
      <c r="K48" s="53">
        <f>K44-K47</f>
        <v>-16505838</v>
      </c>
      <c r="L48" s="128">
        <f>L44-L47</f>
        <v>23219406</v>
      </c>
      <c r="M48" s="53">
        <f>M44-M47</f>
        <v>-15385210</v>
      </c>
      <c r="N48" s="131"/>
    </row>
    <row r="49" spans="1:14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128">
        <f>IF(J48&gt;0,J48,0)</f>
        <v>24497549</v>
      </c>
      <c r="K49" s="53">
        <f>IF(K48&gt;0,K48,0)</f>
        <v>0</v>
      </c>
      <c r="L49" s="128">
        <f>IF(L48&gt;0,L48,0)</f>
        <v>23219406</v>
      </c>
      <c r="M49" s="53">
        <f>IF(M48&gt;0,M48,0)</f>
        <v>0</v>
      </c>
      <c r="N49" s="131"/>
    </row>
    <row r="50" spans="1:14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130">
        <f>IF(J48&lt;0,-J48,0)</f>
        <v>0</v>
      </c>
      <c r="K50" s="61">
        <f>IF(K48&lt;0,-K48,0)</f>
        <v>16505838</v>
      </c>
      <c r="L50" s="130">
        <f>IF(L48&lt;0,-L48,0)</f>
        <v>0</v>
      </c>
      <c r="M50" s="61">
        <f>IF(M48&lt;0,-M48,0)</f>
        <v>15385210</v>
      </c>
      <c r="N50" s="131"/>
    </row>
    <row r="51" spans="1:13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27"/>
      <c r="I56" s="9">
        <v>157</v>
      </c>
      <c r="J56" s="6">
        <f>+J49</f>
        <v>24497549</v>
      </c>
      <c r="K56" s="6">
        <f>+K48</f>
        <v>-16505838</v>
      </c>
      <c r="L56" s="6">
        <f>+L49</f>
        <v>23219406</v>
      </c>
      <c r="M56" s="6">
        <f>+M48</f>
        <v>-15385210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24497549</v>
      </c>
      <c r="K67" s="61">
        <f>K56+K66</f>
        <v>-16505838</v>
      </c>
      <c r="L67" s="61">
        <f>L56+L66</f>
        <v>23219406</v>
      </c>
      <c r="M67" s="61">
        <f>M56+M66</f>
        <v>-15385210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10:H10"/>
    <mergeCell ref="A9:H9"/>
    <mergeCell ref="A18:H18"/>
    <mergeCell ref="A19:H19"/>
    <mergeCell ref="J4:K4"/>
    <mergeCell ref="L4:M4"/>
    <mergeCell ref="A5:H5"/>
    <mergeCell ref="A14:H14"/>
    <mergeCell ref="A15:H15"/>
    <mergeCell ref="A16:H16"/>
    <mergeCell ref="A17:H17"/>
    <mergeCell ref="A26:H26"/>
    <mergeCell ref="A11:H11"/>
    <mergeCell ref="A12:H12"/>
    <mergeCell ref="A13:H13"/>
    <mergeCell ref="A22:H22"/>
    <mergeCell ref="A23:H23"/>
    <mergeCell ref="A24:H24"/>
    <mergeCell ref="A25:H25"/>
    <mergeCell ref="A20:H20"/>
    <mergeCell ref="A21:H21"/>
    <mergeCell ref="A30:H30"/>
    <mergeCell ref="A31:H31"/>
    <mergeCell ref="A32:H32"/>
    <mergeCell ref="A33:H33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70:L71 J53:L54 J56:J67 K56:L56 K57:M57 K58:L65 K66:M67 J47 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6 K10:M10 K7:M7 M12 M33 M22 M27 J12:J46 J7:J10 J48:M50 L12:L46 L8:M9 K12 K16 K22 K27 K33 K42:K46 M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57"/>
      <c r="J6" s="257"/>
      <c r="K6" s="258"/>
    </row>
    <row r="7" spans="1:11" ht="12.75">
      <c r="A7" s="201" t="s">
        <v>40</v>
      </c>
      <c r="B7" s="202"/>
      <c r="C7" s="202"/>
      <c r="D7" s="202"/>
      <c r="E7" s="202"/>
      <c r="F7" s="202"/>
      <c r="G7" s="202"/>
      <c r="H7" s="202"/>
      <c r="I7" s="1">
        <v>1</v>
      </c>
      <c r="J7" s="5"/>
      <c r="K7" s="7"/>
    </row>
    <row r="8" spans="1:11" ht="12.75">
      <c r="A8" s="201" t="s">
        <v>41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42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/>
    </row>
    <row r="10" spans="1:11" ht="12.75">
      <c r="A10" s="201" t="s">
        <v>43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44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1" t="s">
        <v>51</v>
      </c>
      <c r="B12" s="202"/>
      <c r="C12" s="202"/>
      <c r="D12" s="202"/>
      <c r="E12" s="202"/>
      <c r="F12" s="202"/>
      <c r="G12" s="202"/>
      <c r="H12" s="202"/>
      <c r="I12" s="1">
        <v>6</v>
      </c>
      <c r="J12" s="5"/>
      <c r="K12" s="7"/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1" t="s">
        <v>52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53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7"/>
    </row>
    <row r="16" spans="1:11" ht="12.75">
      <c r="A16" s="201" t="s">
        <v>54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55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/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257"/>
      <c r="J21" s="257"/>
      <c r="K21" s="258"/>
    </row>
    <row r="22" spans="1:11" ht="12.75">
      <c r="A22" s="201" t="s">
        <v>178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7"/>
    </row>
    <row r="23" spans="1:11" ht="12.75">
      <c r="A23" s="201" t="s">
        <v>179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180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181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182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1" t="s">
        <v>115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/>
      <c r="K28" s="7"/>
    </row>
    <row r="29" spans="1:11" ht="12.75">
      <c r="A29" s="201" t="s">
        <v>116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16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1" t="s">
        <v>160</v>
      </c>
      <c r="B34" s="212"/>
      <c r="C34" s="212"/>
      <c r="D34" s="212"/>
      <c r="E34" s="212"/>
      <c r="F34" s="212"/>
      <c r="G34" s="212"/>
      <c r="H34" s="212"/>
      <c r="I34" s="257"/>
      <c r="J34" s="257"/>
      <c r="K34" s="258"/>
    </row>
    <row r="35" spans="1:11" ht="12.75">
      <c r="A35" s="201" t="s">
        <v>174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29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.75">
      <c r="A37" s="201" t="s">
        <v>30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1" t="s">
        <v>31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 ht="12.75">
      <c r="A40" s="201" t="s">
        <v>32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33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34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35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1" t="s">
        <v>70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1" t="s">
        <v>71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1" t="s">
        <v>161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/>
      <c r="K49" s="7"/>
    </row>
    <row r="50" spans="1:11" ht="12.75">
      <c r="A50" s="201" t="s">
        <v>175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176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7" sqref="A7:H7"/>
    </sheetView>
  </sheetViews>
  <sheetFormatPr defaultColWidth="9.140625" defaultRowHeight="12.75"/>
  <cols>
    <col min="1" max="8" width="9.140625" style="52" customWidth="1"/>
    <col min="9" max="9" width="8.57421875" style="52" customWidth="1"/>
    <col min="10" max="10" width="10.0039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342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338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283</v>
      </c>
      <c r="K5" s="73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57"/>
      <c r="J6" s="257"/>
      <c r="K6" s="258"/>
    </row>
    <row r="7" spans="1:11" ht="12.75">
      <c r="A7" s="201" t="s">
        <v>199</v>
      </c>
      <c r="B7" s="202"/>
      <c r="C7" s="202"/>
      <c r="D7" s="202"/>
      <c r="E7" s="202"/>
      <c r="F7" s="202"/>
      <c r="G7" s="202"/>
      <c r="H7" s="202"/>
      <c r="I7" s="1">
        <v>1</v>
      </c>
      <c r="J7" s="7">
        <v>229079000</v>
      </c>
      <c r="K7" s="7">
        <v>237543184</v>
      </c>
    </row>
    <row r="8" spans="1:11" ht="12.75">
      <c r="A8" s="201" t="s">
        <v>119</v>
      </c>
      <c r="B8" s="202"/>
      <c r="C8" s="202"/>
      <c r="D8" s="202"/>
      <c r="E8" s="202"/>
      <c r="F8" s="202"/>
      <c r="G8" s="202"/>
      <c r="H8" s="202"/>
      <c r="I8" s="1">
        <v>2</v>
      </c>
      <c r="J8" s="7">
        <v>0</v>
      </c>
      <c r="K8" s="7">
        <v>0</v>
      </c>
    </row>
    <row r="9" spans="1:11" ht="12.75">
      <c r="A9" s="201" t="s">
        <v>120</v>
      </c>
      <c r="B9" s="202"/>
      <c r="C9" s="202"/>
      <c r="D9" s="202"/>
      <c r="E9" s="202"/>
      <c r="F9" s="202"/>
      <c r="G9" s="202"/>
      <c r="H9" s="202"/>
      <c r="I9" s="1">
        <v>3</v>
      </c>
      <c r="J9" s="7">
        <v>614100</v>
      </c>
      <c r="K9" s="7">
        <v>1185856</v>
      </c>
    </row>
    <row r="10" spans="1:11" ht="12.75">
      <c r="A10" s="201" t="s">
        <v>121</v>
      </c>
      <c r="B10" s="202"/>
      <c r="C10" s="202"/>
      <c r="D10" s="202"/>
      <c r="E10" s="202"/>
      <c r="F10" s="202"/>
      <c r="G10" s="202"/>
      <c r="H10" s="202"/>
      <c r="I10" s="1">
        <v>4</v>
      </c>
      <c r="J10" s="7">
        <v>0</v>
      </c>
      <c r="K10" s="7">
        <v>0</v>
      </c>
    </row>
    <row r="11" spans="1:11" ht="12.75">
      <c r="A11" s="201" t="s">
        <v>122</v>
      </c>
      <c r="B11" s="202"/>
      <c r="C11" s="202"/>
      <c r="D11" s="202"/>
      <c r="E11" s="202"/>
      <c r="F11" s="202"/>
      <c r="G11" s="202"/>
      <c r="H11" s="202"/>
      <c r="I11" s="1">
        <v>5</v>
      </c>
      <c r="J11" s="7">
        <v>1279555</v>
      </c>
      <c r="K11" s="7">
        <v>1656211</v>
      </c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128">
        <f>SUM(J7:J11)</f>
        <v>230972655</v>
      </c>
      <c r="K12" s="128">
        <f>SUM(K7:K11)</f>
        <v>240385251</v>
      </c>
    </row>
    <row r="13" spans="1:11" ht="12.75">
      <c r="A13" s="201" t="s">
        <v>123</v>
      </c>
      <c r="B13" s="202"/>
      <c r="C13" s="202"/>
      <c r="D13" s="202"/>
      <c r="E13" s="202"/>
      <c r="F13" s="202"/>
      <c r="G13" s="202"/>
      <c r="H13" s="202"/>
      <c r="I13" s="1">
        <v>7</v>
      </c>
      <c r="J13" s="7">
        <v>72413656</v>
      </c>
      <c r="K13" s="7">
        <v>71327236</v>
      </c>
    </row>
    <row r="14" spans="1:11" ht="12.75">
      <c r="A14" s="201" t="s">
        <v>124</v>
      </c>
      <c r="B14" s="202"/>
      <c r="C14" s="202"/>
      <c r="D14" s="202"/>
      <c r="E14" s="202"/>
      <c r="F14" s="202"/>
      <c r="G14" s="202"/>
      <c r="H14" s="202"/>
      <c r="I14" s="1">
        <v>8</v>
      </c>
      <c r="J14" s="7">
        <v>50669559</v>
      </c>
      <c r="K14" s="7">
        <v>50984798</v>
      </c>
    </row>
    <row r="15" spans="1:11" ht="12.75">
      <c r="A15" s="201" t="s">
        <v>125</v>
      </c>
      <c r="B15" s="202"/>
      <c r="C15" s="202"/>
      <c r="D15" s="202"/>
      <c r="E15" s="202"/>
      <c r="F15" s="202"/>
      <c r="G15" s="202"/>
      <c r="H15" s="202"/>
      <c r="I15" s="1">
        <v>9</v>
      </c>
      <c r="J15" s="7">
        <v>3080301</v>
      </c>
      <c r="K15" s="7">
        <v>3459128</v>
      </c>
    </row>
    <row r="16" spans="1:11" ht="12.75">
      <c r="A16" s="201" t="s">
        <v>126</v>
      </c>
      <c r="B16" s="202"/>
      <c r="C16" s="202"/>
      <c r="D16" s="202"/>
      <c r="E16" s="202"/>
      <c r="F16" s="202"/>
      <c r="G16" s="202"/>
      <c r="H16" s="202"/>
      <c r="I16" s="1">
        <v>10</v>
      </c>
      <c r="J16" s="7">
        <v>650872</v>
      </c>
      <c r="K16" s="7">
        <v>538188</v>
      </c>
    </row>
    <row r="17" spans="1:11" ht="12.75">
      <c r="A17" s="201" t="s">
        <v>127</v>
      </c>
      <c r="B17" s="202"/>
      <c r="C17" s="202"/>
      <c r="D17" s="202"/>
      <c r="E17" s="202"/>
      <c r="F17" s="202"/>
      <c r="G17" s="202"/>
      <c r="H17" s="202"/>
      <c r="I17" s="1">
        <v>11</v>
      </c>
      <c r="J17" s="7">
        <v>26427822</v>
      </c>
      <c r="K17" s="7">
        <v>35238062</v>
      </c>
    </row>
    <row r="18" spans="1:11" ht="12.75">
      <c r="A18" s="201" t="s">
        <v>128</v>
      </c>
      <c r="B18" s="202"/>
      <c r="C18" s="202"/>
      <c r="D18" s="202"/>
      <c r="E18" s="202"/>
      <c r="F18" s="202"/>
      <c r="G18" s="202"/>
      <c r="H18" s="202"/>
      <c r="I18" s="1">
        <v>12</v>
      </c>
      <c r="J18" s="7">
        <v>6533064</v>
      </c>
      <c r="K18" s="7">
        <v>7488315</v>
      </c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128">
        <f>SUM(J13:J18)</f>
        <v>159775274</v>
      </c>
      <c r="K19" s="128">
        <f>SUM(K13:K18)</f>
        <v>169035727</v>
      </c>
    </row>
    <row r="20" spans="1:11" ht="12.75">
      <c r="A20" s="195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128">
        <f>IF(J12&gt;J19,J12-J19,0)</f>
        <v>71197381</v>
      </c>
      <c r="K20" s="128">
        <f>IF(K12&gt;K19,K12-K19,0)</f>
        <v>71349524</v>
      </c>
    </row>
    <row r="21" spans="1:11" ht="12.75">
      <c r="A21" s="222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128">
        <f>IF(J19&gt;J12,J19-J12,0)</f>
        <v>0</v>
      </c>
      <c r="K21" s="128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57"/>
      <c r="J22" s="257"/>
      <c r="K22" s="258"/>
    </row>
    <row r="23" spans="1:11" ht="12.75">
      <c r="A23" s="201" t="s">
        <v>165</v>
      </c>
      <c r="B23" s="202"/>
      <c r="C23" s="202"/>
      <c r="D23" s="202"/>
      <c r="E23" s="202"/>
      <c r="F23" s="202"/>
      <c r="G23" s="202"/>
      <c r="H23" s="202"/>
      <c r="I23" s="1">
        <v>16</v>
      </c>
      <c r="J23" s="7">
        <v>139289</v>
      </c>
      <c r="K23" s="7">
        <v>94730</v>
      </c>
    </row>
    <row r="24" spans="1:11" ht="12.75">
      <c r="A24" s="201" t="s">
        <v>166</v>
      </c>
      <c r="B24" s="202"/>
      <c r="C24" s="202"/>
      <c r="D24" s="202"/>
      <c r="E24" s="202"/>
      <c r="F24" s="202"/>
      <c r="G24" s="202"/>
      <c r="H24" s="202"/>
      <c r="I24" s="1">
        <v>17</v>
      </c>
      <c r="J24" s="7">
        <v>0</v>
      </c>
      <c r="K24" s="7">
        <v>0</v>
      </c>
    </row>
    <row r="25" spans="1:11" ht="12.75">
      <c r="A25" s="201" t="s">
        <v>321</v>
      </c>
      <c r="B25" s="202"/>
      <c r="C25" s="202"/>
      <c r="D25" s="202"/>
      <c r="E25" s="202"/>
      <c r="F25" s="202"/>
      <c r="G25" s="202"/>
      <c r="H25" s="202"/>
      <c r="I25" s="1">
        <v>18</v>
      </c>
      <c r="J25" s="7">
        <v>0</v>
      </c>
      <c r="K25" s="7">
        <v>0</v>
      </c>
    </row>
    <row r="26" spans="1:11" ht="12.75">
      <c r="A26" s="201" t="s">
        <v>322</v>
      </c>
      <c r="B26" s="202"/>
      <c r="C26" s="202"/>
      <c r="D26" s="202"/>
      <c r="E26" s="202"/>
      <c r="F26" s="202"/>
      <c r="G26" s="202"/>
      <c r="H26" s="202"/>
      <c r="I26" s="1">
        <v>19</v>
      </c>
      <c r="J26" s="7">
        <v>0</v>
      </c>
      <c r="K26" s="7">
        <v>0</v>
      </c>
    </row>
    <row r="27" spans="1:11" ht="12.75">
      <c r="A27" s="201" t="s">
        <v>167</v>
      </c>
      <c r="B27" s="202"/>
      <c r="C27" s="202"/>
      <c r="D27" s="202"/>
      <c r="E27" s="202"/>
      <c r="F27" s="202"/>
      <c r="G27" s="202"/>
      <c r="H27" s="202"/>
      <c r="I27" s="1">
        <v>20</v>
      </c>
      <c r="J27" s="7">
        <v>0</v>
      </c>
      <c r="K27" s="7">
        <v>0</v>
      </c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128">
        <f>SUM(J23:J27)</f>
        <v>139289</v>
      </c>
      <c r="K28" s="128">
        <f>SUM(K23:K27)</f>
        <v>94730</v>
      </c>
    </row>
    <row r="29" spans="1:11" ht="12.75">
      <c r="A29" s="201" t="s">
        <v>2</v>
      </c>
      <c r="B29" s="202"/>
      <c r="C29" s="202"/>
      <c r="D29" s="202"/>
      <c r="E29" s="202"/>
      <c r="F29" s="202"/>
      <c r="G29" s="202"/>
      <c r="H29" s="202"/>
      <c r="I29" s="1">
        <v>22</v>
      </c>
      <c r="J29" s="7">
        <v>63923136</v>
      </c>
      <c r="K29" s="7">
        <v>36642705</v>
      </c>
    </row>
    <row r="30" spans="1:11" ht="12.75">
      <c r="A30" s="201" t="s">
        <v>3</v>
      </c>
      <c r="B30" s="202"/>
      <c r="C30" s="202"/>
      <c r="D30" s="202"/>
      <c r="E30" s="202"/>
      <c r="F30" s="202"/>
      <c r="G30" s="202"/>
      <c r="H30" s="202"/>
      <c r="I30" s="1">
        <v>23</v>
      </c>
      <c r="J30" s="7">
        <v>0</v>
      </c>
      <c r="K30" s="7">
        <v>0</v>
      </c>
    </row>
    <row r="31" spans="1:11" ht="12.75">
      <c r="A31" s="201" t="s">
        <v>4</v>
      </c>
      <c r="B31" s="202"/>
      <c r="C31" s="202"/>
      <c r="D31" s="202"/>
      <c r="E31" s="202"/>
      <c r="F31" s="202"/>
      <c r="G31" s="202"/>
      <c r="H31" s="202"/>
      <c r="I31" s="1">
        <v>24</v>
      </c>
      <c r="J31" s="7">
        <v>0</v>
      </c>
      <c r="K31" s="7">
        <v>0</v>
      </c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128">
        <f>SUM(J29:J31)</f>
        <v>63923136</v>
      </c>
      <c r="K32" s="128">
        <f>SUM(K29:K31)</f>
        <v>36642705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128">
        <f>IF(J28&gt;J32,J28-J32,0)</f>
        <v>0</v>
      </c>
      <c r="K33" s="128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128">
        <f>IF(J32&gt;J28,J32-J28,0)</f>
        <v>63783847</v>
      </c>
      <c r="K34" s="128">
        <f>IF(K32&gt;K28,K32-K28,0)</f>
        <v>36547975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57">
        <v>0</v>
      </c>
      <c r="J35" s="257"/>
      <c r="K35" s="258"/>
    </row>
    <row r="36" spans="1:11" ht="12.75">
      <c r="A36" s="201" t="s">
        <v>174</v>
      </c>
      <c r="B36" s="202"/>
      <c r="C36" s="202"/>
      <c r="D36" s="202"/>
      <c r="E36" s="202"/>
      <c r="F36" s="202"/>
      <c r="G36" s="202"/>
      <c r="H36" s="202"/>
      <c r="I36" s="1">
        <v>28</v>
      </c>
      <c r="J36" s="7">
        <v>0</v>
      </c>
      <c r="K36" s="7">
        <v>0</v>
      </c>
    </row>
    <row r="37" spans="1:11" ht="12.75">
      <c r="A37" s="201" t="s">
        <v>29</v>
      </c>
      <c r="B37" s="202"/>
      <c r="C37" s="202"/>
      <c r="D37" s="202"/>
      <c r="E37" s="202"/>
      <c r="F37" s="202"/>
      <c r="G37" s="202"/>
      <c r="H37" s="202"/>
      <c r="I37" s="1">
        <v>29</v>
      </c>
      <c r="J37" s="7">
        <v>29716595</v>
      </c>
      <c r="K37" s="7">
        <v>0</v>
      </c>
    </row>
    <row r="38" spans="1:11" ht="12.75">
      <c r="A38" s="201" t="s">
        <v>30</v>
      </c>
      <c r="B38" s="202"/>
      <c r="C38" s="202"/>
      <c r="D38" s="202"/>
      <c r="E38" s="202"/>
      <c r="F38" s="202"/>
      <c r="G38" s="202"/>
      <c r="H38" s="202"/>
      <c r="I38" s="1">
        <v>30</v>
      </c>
      <c r="J38" s="7">
        <v>0</v>
      </c>
      <c r="K38" s="7">
        <v>0</v>
      </c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128">
        <f>SUM(J36:J38)</f>
        <v>29716595</v>
      </c>
      <c r="K39" s="128">
        <f>SUM(K36:K38)</f>
        <v>0</v>
      </c>
    </row>
    <row r="40" spans="1:11" ht="12.75">
      <c r="A40" s="201" t="s">
        <v>31</v>
      </c>
      <c r="B40" s="202"/>
      <c r="C40" s="202"/>
      <c r="D40" s="202"/>
      <c r="E40" s="202"/>
      <c r="F40" s="202"/>
      <c r="G40" s="202"/>
      <c r="H40" s="202"/>
      <c r="I40" s="1">
        <v>32</v>
      </c>
      <c r="J40" s="7">
        <v>24090343</v>
      </c>
      <c r="K40" s="7">
        <v>5544881</v>
      </c>
    </row>
    <row r="41" spans="1:11" ht="12.75">
      <c r="A41" s="201" t="s">
        <v>32</v>
      </c>
      <c r="B41" s="202"/>
      <c r="C41" s="202"/>
      <c r="D41" s="202"/>
      <c r="E41" s="202"/>
      <c r="F41" s="202"/>
      <c r="G41" s="202"/>
      <c r="H41" s="202"/>
      <c r="I41" s="1">
        <v>33</v>
      </c>
      <c r="J41" s="7">
        <v>0</v>
      </c>
      <c r="K41" s="7">
        <v>0</v>
      </c>
    </row>
    <row r="42" spans="1:11" ht="12.75">
      <c r="A42" s="201" t="s">
        <v>33</v>
      </c>
      <c r="B42" s="202"/>
      <c r="C42" s="202"/>
      <c r="D42" s="202"/>
      <c r="E42" s="202"/>
      <c r="F42" s="202"/>
      <c r="G42" s="202"/>
      <c r="H42" s="202"/>
      <c r="I42" s="1">
        <v>34</v>
      </c>
      <c r="J42" s="7">
        <v>876347</v>
      </c>
      <c r="K42" s="7">
        <v>1000419</v>
      </c>
    </row>
    <row r="43" spans="1:11" ht="12.75">
      <c r="A43" s="201" t="s">
        <v>34</v>
      </c>
      <c r="B43" s="202"/>
      <c r="C43" s="202"/>
      <c r="D43" s="202"/>
      <c r="E43" s="202"/>
      <c r="F43" s="202"/>
      <c r="G43" s="202"/>
      <c r="H43" s="202"/>
      <c r="I43" s="1">
        <v>35</v>
      </c>
      <c r="J43" s="7">
        <v>0</v>
      </c>
      <c r="K43" s="7">
        <v>0</v>
      </c>
    </row>
    <row r="44" spans="1:11" ht="12.75">
      <c r="A44" s="201" t="s">
        <v>35</v>
      </c>
      <c r="B44" s="202"/>
      <c r="C44" s="202"/>
      <c r="D44" s="202"/>
      <c r="E44" s="202"/>
      <c r="F44" s="202"/>
      <c r="G44" s="202"/>
      <c r="H44" s="202"/>
      <c r="I44" s="1">
        <v>36</v>
      </c>
      <c r="J44" s="7">
        <v>220000</v>
      </c>
      <c r="K44" s="7">
        <v>0</v>
      </c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128">
        <f>SUM(J40:J44)</f>
        <v>25186690</v>
      </c>
      <c r="K45" s="128">
        <f>SUM(K40:K44)</f>
        <v>6545300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128">
        <f>IF(J39&gt;J45,J39-J45,0)</f>
        <v>4529905</v>
      </c>
      <c r="K46" s="128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128">
        <f>IF(J45&gt;J39,J45-J39,0)</f>
        <v>0</v>
      </c>
      <c r="K47" s="128">
        <f>IF(K45&gt;K39,K45-K39,0)</f>
        <v>6545300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128">
        <f>IF(J20-J21+J33-J34+J46-J47&gt;0,J20-J21+J33-J34+J46-J47,0)</f>
        <v>11943439</v>
      </c>
      <c r="K48" s="128">
        <f>IF(K20-K21+K33-K34+K46-K47&gt;0,K20-K21+K33-K34+K46-K47,0)</f>
        <v>28256249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128">
        <f>IF(J21-J20+J34-J33+J47-J46&gt;0,J21-J20+J34-J33+J47-J46,0)</f>
        <v>0</v>
      </c>
      <c r="K49" s="128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7">
        <v>14088405</v>
      </c>
      <c r="K50" s="7">
        <v>26031844</v>
      </c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7">
        <f>+J48</f>
        <v>11943439</v>
      </c>
      <c r="K51" s="7">
        <f>+K48</f>
        <v>28256249</v>
      </c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7">
        <v>0</v>
      </c>
      <c r="K52" s="7">
        <v>0</v>
      </c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130">
        <f>J50+J51-J52</f>
        <v>26031844</v>
      </c>
      <c r="K53" s="130">
        <f>K50+K51-K52</f>
        <v>54288093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40:K44 J36:K38 J29:K31 J23:K27 J13:K18 J7:K1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5 J28:K28 J19:K22 J39:K39 J12:K12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5" sqref="A5:H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5" t="s">
        <v>282</v>
      </c>
      <c r="D2" s="275"/>
      <c r="E2" s="77">
        <v>40909</v>
      </c>
      <c r="F2" s="43" t="s">
        <v>250</v>
      </c>
      <c r="G2" s="276">
        <v>41274</v>
      </c>
      <c r="H2" s="277"/>
      <c r="I2" s="74"/>
      <c r="J2" s="74"/>
      <c r="K2" s="74"/>
      <c r="L2" s="78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81" t="s">
        <v>305</v>
      </c>
      <c r="J3" s="82" t="s">
        <v>150</v>
      </c>
      <c r="K3" s="82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399816000</v>
      </c>
      <c r="K5" s="45">
        <v>399816000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0</v>
      </c>
      <c r="K6" s="46">
        <v>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0</v>
      </c>
      <c r="K7" s="46">
        <v>19990800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-1056309</v>
      </c>
      <c r="K8" s="46">
        <v>3450440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24497549</v>
      </c>
      <c r="K9" s="46">
        <v>23219406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0</v>
      </c>
      <c r="K10" s="46">
        <v>0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>
        <v>0</v>
      </c>
      <c r="K11" s="46">
        <v>0</v>
      </c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0</v>
      </c>
      <c r="K12" s="46">
        <v>0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0</v>
      </c>
      <c r="K13" s="46">
        <v>0</v>
      </c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423257240</v>
      </c>
      <c r="K14" s="79">
        <f>SUM(K5:K13)</f>
        <v>446476646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>
        <v>0</v>
      </c>
      <c r="K15" s="46">
        <v>0</v>
      </c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>
        <v>0</v>
      </c>
      <c r="K16" s="46">
        <v>0</v>
      </c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>
        <v>0</v>
      </c>
      <c r="K17" s="46">
        <v>0</v>
      </c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>
        <v>0</v>
      </c>
      <c r="K18" s="46">
        <v>0</v>
      </c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>
        <v>0</v>
      </c>
      <c r="K19" s="46">
        <v>0</v>
      </c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0</v>
      </c>
      <c r="K20" s="46">
        <v>0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2013-02-14T17:44:32Z</cp:lastPrinted>
  <dcterms:created xsi:type="dcterms:W3CDTF">2008-10-17T11:51:54Z</dcterms:created>
  <dcterms:modified xsi:type="dcterms:W3CDTF">2013-02-14T17:48:51Z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