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4/"/>
    </mc:Choice>
  </mc:AlternateContent>
  <xr:revisionPtr revIDLastSave="164" documentId="8_{F7B56F7F-A2AC-4659-925C-85BE2F9251EE}" xr6:coauthVersionLast="47" xr6:coauthVersionMax="47" xr10:uidLastSave="{39ECA92B-9EEA-46DA-89A3-703F34078757}"/>
  <bookViews>
    <workbookView xWindow="900" yWindow="60" windowWidth="22230" windowHeight="1711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8" l="1"/>
  <c r="K113" i="26"/>
  <c r="K87" i="26"/>
  <c r="K65" i="26"/>
  <c r="K51" i="26"/>
  <c r="K47" i="26"/>
  <c r="K45" i="26"/>
  <c r="K44" i="26"/>
  <c r="K36" i="26"/>
  <c r="K28" i="26"/>
  <c r="K25" i="26"/>
  <c r="K24" i="26"/>
  <c r="K23" i="26"/>
  <c r="K22" i="26"/>
  <c r="K21" i="26"/>
  <c r="K19" i="26"/>
  <c r="K17" i="26"/>
  <c r="K13" i="26"/>
  <c r="K11" i="26"/>
  <c r="K10" i="26"/>
  <c r="I87" i="26"/>
  <c r="I86" i="26"/>
  <c r="I65" i="26"/>
  <c r="I52" i="26"/>
  <c r="I51" i="26"/>
  <c r="I47" i="26"/>
  <c r="I44" i="26"/>
  <c r="I36" i="26"/>
  <c r="I25" i="26"/>
  <c r="I24" i="26"/>
  <c r="I23" i="26"/>
  <c r="I22" i="26"/>
  <c r="I21" i="26"/>
  <c r="I19" i="26"/>
  <c r="I17" i="26"/>
  <c r="I13" i="26"/>
  <c r="I11" i="26"/>
  <c r="I10" i="26"/>
  <c r="C29" i="25"/>
  <c r="N57" i="22"/>
  <c r="V57" i="22"/>
  <c r="I32" i="26"/>
  <c r="K50" i="26"/>
  <c r="K52" i="26"/>
  <c r="K53" i="26"/>
  <c r="K54" i="26"/>
  <c r="K55" i="26"/>
  <c r="K56" i="26"/>
  <c r="K57" i="26"/>
  <c r="K58" i="26"/>
  <c r="K59" i="26"/>
  <c r="K49" i="26"/>
  <c r="K39" i="26"/>
  <c r="K40" i="26"/>
  <c r="K41" i="26"/>
  <c r="K42" i="26"/>
  <c r="K43" i="26"/>
  <c r="K46" i="26"/>
  <c r="K38" i="26"/>
  <c r="K31" i="26"/>
  <c r="K32" i="26"/>
  <c r="K33" i="26"/>
  <c r="K34" i="26"/>
  <c r="K35" i="26"/>
  <c r="K30" i="26"/>
  <c r="K18" i="26"/>
  <c r="K12" i="26"/>
  <c r="K9" i="26"/>
  <c r="H113" i="26" l="1"/>
  <c r="I113" i="26" s="1"/>
  <c r="I59" i="26"/>
  <c r="I58" i="26"/>
  <c r="I57" i="26"/>
  <c r="I56" i="26"/>
  <c r="I55" i="26"/>
  <c r="I54" i="26"/>
  <c r="I53" i="26"/>
  <c r="I50" i="26"/>
  <c r="I49" i="26"/>
  <c r="I46" i="26"/>
  <c r="I45" i="26"/>
  <c r="I43" i="26"/>
  <c r="I42" i="26"/>
  <c r="I41" i="26"/>
  <c r="I40" i="26"/>
  <c r="I39" i="26"/>
  <c r="I38" i="26"/>
  <c r="I35" i="26"/>
  <c r="I34" i="26"/>
  <c r="I33" i="26"/>
  <c r="I31" i="26"/>
  <c r="I30" i="26"/>
  <c r="I18" i="26"/>
  <c r="I12" i="26"/>
  <c r="I9" i="26"/>
  <c r="H56" i="18" l="1"/>
  <c r="I107" i="26" l="1"/>
  <c r="I106" i="26"/>
  <c r="I105" i="26"/>
  <c r="I104" i="26"/>
  <c r="I103" i="26"/>
  <c r="I102" i="26"/>
  <c r="I101" i="26"/>
  <c r="I100" i="26"/>
  <c r="I99" i="26"/>
  <c r="I97" i="26"/>
  <c r="I96" i="26"/>
  <c r="I95" i="26"/>
  <c r="I94" i="26"/>
  <c r="I93" i="26"/>
  <c r="I92" i="26"/>
  <c r="I79" i="26"/>
  <c r="I78" i="26"/>
  <c r="I73" i="26"/>
  <c r="I72" i="26"/>
  <c r="I71" i="26"/>
  <c r="I28" i="26"/>
  <c r="I27" i="26"/>
  <c r="I15" i="26"/>
  <c r="K107" i="26"/>
  <c r="K106" i="26"/>
  <c r="K105" i="26"/>
  <c r="K104" i="26"/>
  <c r="K103" i="26"/>
  <c r="K102" i="26"/>
  <c r="K101" i="26"/>
  <c r="K100" i="26"/>
  <c r="K99" i="26"/>
  <c r="K97" i="26"/>
  <c r="K96" i="26"/>
  <c r="K95" i="26"/>
  <c r="K94" i="26"/>
  <c r="K93" i="26"/>
  <c r="K92" i="26"/>
  <c r="K79" i="26"/>
  <c r="K78" i="26"/>
  <c r="K73" i="26"/>
  <c r="K72" i="26"/>
  <c r="K71"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7" i="26" s="1"/>
  <c r="J86" i="26" s="1"/>
  <c r="K86" i="26" s="1"/>
  <c r="J63" i="26"/>
  <c r="H63" i="26"/>
  <c r="K62" i="26"/>
  <c r="K66" i="26" s="1"/>
  <c r="H62" i="26"/>
  <c r="H68" i="26" s="1"/>
  <c r="H64" i="26"/>
  <c r="I51" i="21"/>
  <c r="I53" i="21" s="1"/>
  <c r="H51" i="21"/>
  <c r="H53" i="21" s="1"/>
  <c r="K85" i="26" l="1"/>
  <c r="J112" i="26"/>
  <c r="K112" i="26" s="1"/>
  <c r="J85" i="26"/>
  <c r="J89" i="26" s="1"/>
  <c r="K89" i="26" s="1"/>
  <c r="I67" i="26"/>
  <c r="I68" i="26"/>
  <c r="J66" i="26"/>
  <c r="J68" i="26"/>
  <c r="K67" i="26"/>
  <c r="K68" i="26"/>
  <c r="H66" i="26"/>
  <c r="H89" i="26" s="1"/>
  <c r="H67" i="26"/>
  <c r="I85" i="18"/>
  <c r="H85" i="18"/>
  <c r="K111" i="26" l="1"/>
  <c r="J111" i="26"/>
  <c r="I85" i="26"/>
  <c r="H112" i="26"/>
  <c r="I112" i="26" s="1"/>
  <c r="H85" i="26"/>
  <c r="J109" i="26"/>
  <c r="K109" i="26"/>
  <c r="I109" i="26"/>
  <c r="H109" i="26"/>
  <c r="I78" i="18"/>
  <c r="H78" i="18"/>
  <c r="I111" i="26" l="1"/>
  <c r="H111" i="26"/>
  <c r="H54" i="20"/>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X36" i="22" s="1"/>
  <c r="X39" i="22" s="1"/>
  <c r="X59"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<sst xmlns="http://schemas.openxmlformats.org/spreadsheetml/2006/main" count="537" uniqueCount="472">
  <si>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</si>
  <si>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</si>
  <si>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</si>
  <si>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</si>
  <si>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</si>
  <si>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</si>
  <si>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</si>
  <si>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</si>
  <si>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</si>
  <si>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</si>
  <si>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</si>
  <si>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</si>
  <si>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</si>
  <si>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</si>
  <si>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</si>
  <si>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</si>
  <si>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</si>
  <si>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</si>
  <si>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</si>
  <si>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</si>
  <si>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</si>
  <si>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</si>
  <si>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</si>
  <si>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</si>
  <si>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</si>
  <si>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</si>
  <si>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</si>
  <si>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</si>
  <si>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</si>
  <si>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</si>
  <si>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</si>
  <si>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</si>
  <si>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</si>
  <si>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</si>
  <si>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</si>
  <si>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</si>
  <si>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</si>
  <si>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</si>
  <si>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</si>
  <si>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</si>
  <si>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</si>
  <si>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</si>
  <si>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</si>
  <si>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</si>
  <si>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</si>
  <si>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</si>
  <si>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</si>
  <si>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</si>
  <si>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</si>
  <si>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</si>
  <si>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</si>
  <si>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</si>
  <si>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</si>
  <si>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</si>
  <si>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</si>
  <si>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</si>
  <si>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</si>
  <si>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</si>
  <si>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</si>
  <si>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</si>
  <si>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</si>
  <si>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</si>
  <si>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</si>
  <si>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</si>
  <si>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</si>
  <si>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</si>
  <si>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</si>
  <si>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</si>
  <si>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</si>
  <si>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</si>
  <si>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</si>
  <si>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</si>
  <si>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</si>
  <si>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</si>
  <si>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</si>
  <si>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</si>
  <si>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</si>
  <si>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</si>
  <si>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</si>
  <si>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</si>
  <si>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</si>
  <si>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</si>
  <si>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</si>
  <si>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</si>
  <si>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</si>
  <si>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</si>
  <si>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</si>
  <si>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</si>
  <si>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</si>
  <si>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</si>
  <si>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</si>
  <si>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</si>
  <si>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</si>
  <si>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</si>
  <si>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</si>
  <si>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</si>
  <si>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</si>
  <si>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</si>
  <si>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</si>
  <si>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</si>
  <si>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</si>
  <si>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</si>
  <si>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</si>
  <si>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</si>
  <si>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</si>
  <si>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</si>
  <si>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</si>
  <si>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</si>
  <si>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</si>
  <si>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</si>
  <si>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</si>
  <si>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</si>
  <si>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</si>
  <si>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</si>
  <si>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</si>
  <si>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</si>
  <si>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</si>
  <si>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</si>
  <si>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</si>
  <si>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</si>
  <si>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</si>
  <si>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</si>
  <si>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</si>
  <si>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</si>
  <si>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</si>
  <si>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</si>
  <si>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</si>
  <si>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</si>
  <si>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</si>
  <si>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</si>
  <si>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</si>
  <si>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</si>
  <si>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</si>
  <si>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</si>
  <si>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</si>
  <si>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</si>
  <si>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</si>
  <si>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</si>
  <si>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</si>
  <si>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</si>
  <si>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</si>
  <si>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</si>
  <si>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</si>
  <si>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</si>
  <si>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</si>
  <si>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</si>
  <si>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</si>
  <si>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</si>
  <si>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</si>
  <si>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</si>
  <si>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</si>
  <si>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</si>
  <si>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</si>
  <si>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</si>
  <si>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</si>
  <si>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</si>
  <si>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</si>
  <si>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</si>
  <si>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</si>
  <si>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</si>
  <si>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</si>
  <si>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</si>
  <si>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</si>
  <si>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</si>
  <si>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</si>
  <si>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</si>
  <si>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</si>
  <si>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</si>
  <si>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</si>
  <si>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</si>
  <si>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</si>
  <si>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</si>
  <si>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</si>
  <si>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</si>
  <si>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</si>
  <si>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</si>
  <si>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</si>
  <si>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</si>
  <si>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</si>
  <si>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</si>
  <si>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</si>
  <si>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</si>
  <si>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</si>
  <si>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</si>
  <si>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</si>
  <si>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</si>
  <si>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</si>
  <si>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</si>
  <si>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</si>
  <si>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</si>
  <si>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</si>
  <si>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</si>
  <si>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</si>
  <si>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</si>
  <si>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</si>
  <si>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</si>
  <si>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</si>
  <si>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</si>
  <si>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</si>
  <si>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</si>
  <si>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</si>
  <si>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</si>
  <si>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</si>
  <si>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</si>
  <si>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</si>
  <si>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</si>
  <si>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</si>
  <si>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</si>
  <si>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</si>
  <si>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</si>
  <si>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</si>
  <si>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</si>
  <si>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</si>
  <si>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</si>
  <si>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</si>
  <si>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</si>
  <si>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</si>
  <si>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</si>
  <si>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</si>
  <si>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</si>
  <si>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</si>
  <si>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</si>
  <si>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</si>
  <si>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</si>
  <si>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</si>
  <si>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</si>
  <si>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</si>
  <si>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</si>
  <si>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</si>
  <si>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</si>
  <si>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</si>
  <si>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</si>
  <si>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</si>
  <si>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</si>
  <si>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</si>
  <si>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</si>
  <si>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</si>
  <si>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</si>
  <si>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</si>
  <si>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</si>
  <si>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</si>
  <si>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</si>
  <si>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</si>
  <si>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</si>
  <si>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</si>
  <si>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</si>
  <si>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</si>
  <si>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</si>
  <si>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</si>
  <si>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</si>
  <si>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</si>
  <si>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</si>
  <si>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</si>
  <si>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</si>
  <si>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</si>
  <si>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</si>
  <si>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</si>
  <si>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</si>
  <si>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</si>
  <si>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</si>
  <si>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</si>
  <si>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</si>
  <si>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</si>
  <si>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</si>
  <si>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</si>
  <si>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</si>
  <si>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</si>
  <si>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</si>
  <si>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</si>
  <si>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</si>
  <si>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</si>
  <si>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</si>
  <si>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</si>
  <si>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</si>
  <si>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</si>
  <si>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</si>
  <si>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</si>
  <si>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</si>
  <si>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</si>
  <si>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</si>
  <si>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</si>
  <si>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</si>
  <si>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</si>
  <si>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</si>
  <si>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</si>
  <si>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</si>
  <si>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</si>
  <si>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</si>
  <si>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</si>
  <si>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</si>
  <si>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</si>
  <si>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</si>
  <si>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</si>
  <si>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</si>
  <si>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</si>
  <si>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</si>
  <si>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</si>
  <si>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</si>
  <si>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</si>
  <si>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</si>
  <si>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</si>
  <si>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</si>
  <si>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</si>
  <si>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</si>
  <si>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</si>
  <si>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</si>
  <si>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</si>
  <si>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</si>
  <si>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</si>
  <si>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</si>
  <si>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</si>
  <si>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</si>
  <si>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</si>
  <si>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</si>
  <si>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</si>
  <si>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</si>
  <si>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</si>
  <si>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</si>
  <si>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</si>
  <si>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</si>
  <si>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</si>
  <si>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</si>
  <si>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</si>
  <si>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</si>
  <si>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</si>
  <si>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</si>
  <si>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</si>
  <si>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</si>
  <si>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</si>
  <si>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</si>
  <si>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</si>
  <si>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</si>
  <si>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</si>
  <si>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</si>
  <si>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</si>
  <si>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</si>
  <si>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</si>
  <si>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</si>
  <si>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</si>
  <si>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</si>
  <si>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</si>
  <si>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</si>
  <si>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</si>
  <si>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</si>
  <si>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</si>
  <si>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</si>
  <si>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</si>
  <si>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</si>
  <si>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</si>
  <si>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</si>
  <si>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</si>
  <si>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</si>
  <si>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</si>
  <si>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</si>
  <si>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</si>
  <si>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</si>
  <si>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</si>
  <si>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</si>
  <si>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</si>
  <si>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</si>
  <si>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</si>
  <si>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</si>
  <si>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</si>
  <si>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</si>
  <si>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</si>
  <si>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</si>
  <si>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</si>
  <si>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</si>
  <si>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</si>
  <si>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</si>
  <si>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</si>
  <si>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</si>
  <si>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</si>
  <si>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</si>
  <si>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</si>
  <si>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</si>
  <si>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</si>
  <si>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</si>
  <si>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</si>
  <si>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</si>
  <si>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</si>
  <si>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</si>
  <si>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</si>
  <si>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</si>
  <si>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</si>
  <si>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</si>
  <si>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</si>
  <si>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</si>
  <si>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</si>
  <si>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</si>
  <si>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</si>
  <si>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</si>
  <si>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</si>
  <si>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</si>
  <si>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</si>
  <si>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</si>
  <si>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</si>
  <si>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</si>
  <si>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</si>
  <si>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</si>
  <si>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</si>
  <si>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</si>
  <si>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</si>
  <si>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</si>
  <si>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</si>
  <si>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</si>
  <si>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</si>
  <si>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</si>
  <si>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</si>
  <si>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</si>
  <si>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</si>
  <si>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</si>
  <si>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</si>
  <si>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</si>
  <si>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</si>
  <si>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</si>
  <si>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</si>
  <si>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</si>
  <si>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</si>
  <si>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</si>
  <si>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</si>
  <si>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</si>
  <si>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</si>
  <si>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</si>
  <si>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</si>
  <si>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</si>
  <si>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</si>
  <si>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</si>
  <si>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</si>
  <si>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</si>
  <si>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</si>
  <si>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</si>
  <si>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</si>
  <si>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</si>
  <si>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</si>
  <si>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</si>
  <si>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</si>
  <si>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</si>
  <si>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</si>
  <si>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</si>
  <si>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</si>
  <si>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</si>
  <si>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</si>
  <si>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</si>
  <si>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</si>
  <si>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</si>
  <si>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</si>
  <si>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</si>
  <si>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</si>
  <si>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</si>
  <si>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</si>
  <si>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</si>
  <si>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</si>
  <si>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</si>
  <si>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</si>
  <si>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</si>
  <si>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</si>
  <si>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</si>
  <si>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</si>
  <si>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</si>
  <si>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</si>
  <si>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</si>
  <si>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</si>
  <si>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t>VL Steel d.o.o.</t>
  </si>
  <si>
    <t>Rijeka, Radnička 39</t>
  </si>
  <si>
    <t>04798759</t>
  </si>
  <si>
    <t>Obveznik:Brodogradilište Viktor Lenac - GRUPA</t>
  </si>
  <si>
    <t>Obveznik: Brodogradilište Viktor Lenac - GRUPA</t>
  </si>
  <si>
    <t>stanje na dan 30.9.2024</t>
  </si>
  <si>
    <t>u razdoblju 1.1.2024 do 30.9.2024</t>
  </si>
  <si>
    <t>u razdoblju 1.1.2024. do 30.9.2024.</t>
  </si>
  <si>
    <t>BILJEŠKE UZ FINANCIJSKE IZVJEŠTAJE - TFI
(koji se sastavljaju za tromjesečna razdoblja)
Naziv izdavatelja:   Brodogradilište Viktor Lenac d.d.
OIB:   27531244647
ISIN oznaka: HRVLENRB0001
Oznaka vrijednosnice: VLEN
Redovito tržište Zagrbačke burze
Izvještajno razdoblje: 01.1.2024-30.9.2024.
Radi pojašnjavanja pozicija RDG-a i pozicija Bilance iz standardnog obrasca TFI-POD i financijskog izvještaja Društva navodimo slijedeće:
Društvo za kvartalna razdoblja posebno ne izdaje bilješke vezane uz Konsolidirani izvještaj zbog malog utjecaja Ovisnog društva na bilančne pozicije i pozicije računa dobiti i gubitka i obzirom da ovisno Društvo nema značajnije imovine. Većina prihoda ovisnog Društva ostvarena je u poslovanju s matičnim društvom i predmet su međusobnih eliminacija u izradi konsolidiranog izvještaja. Stoga bilješke nemaju značajniju materijalnu razliku u odnosu na iskazane podatke Matice.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</si>
</sst>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6" xfId="4" quotePrefix="1"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A10" sqref="A10:I10"/>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25" t="s">
        <v>307</v>
      </c>
      <c r="B1" s="126"/>
      <c r="C1" s="126"/>
      <c r="D1" s="77"/>
      <c r="E1" s="77"/>
      <c r="F1" s="77"/>
      <c r="G1" s="77"/>
      <c r="H1" s="77"/>
      <c r="I1" s="77"/>
      <c r="J1" s="78"/>
    </row>
    <row r="2" spans="1:20" ht="14.45" customHeight="1" x14ac:dyDescent="0.25">
      <c r="A2" s="127" t="s">
        <v>323</v>
      </c>
      <c r="B2" s="128"/>
      <c r="C2" s="128"/>
      <c r="D2" s="128"/>
      <c r="E2" s="128"/>
      <c r="F2" s="128"/>
      <c r="G2" s="128"/>
      <c r="H2" s="128"/>
      <c r="I2" s="128"/>
      <c r="J2" s="129"/>
    </row>
    <row r="3" spans="1:20" x14ac:dyDescent="0.25">
      <c r="A3" s="82"/>
      <c r="B3" s="83"/>
      <c r="C3" s="83"/>
      <c r="D3" s="83"/>
      <c r="E3" s="83"/>
      <c r="F3" s="83"/>
      <c r="G3" s="83"/>
      <c r="H3" s="83"/>
      <c r="I3" s="83"/>
      <c r="J3" s="84"/>
    </row>
    <row r="4" spans="1:20" ht="33.6" customHeight="1" x14ac:dyDescent="0.25">
      <c r="A4" s="130" t="s">
        <v>308</v>
      </c>
      <c r="B4" s="131"/>
      <c r="C4" s="131"/>
      <c r="D4" s="131"/>
      <c r="E4" s="132">
        <v>45292</v>
      </c>
      <c r="F4" s="133"/>
      <c r="G4" s="85" t="s">
        <v>0</v>
      </c>
      <c r="H4" s="132">
        <v>45565</v>
      </c>
      <c r="I4" s="133"/>
      <c r="J4" s="86"/>
    </row>
    <row r="5" spans="1:20" s="79" customFormat="1" ht="10.15" customHeight="1" x14ac:dyDescent="0.25">
      <c r="A5" s="134"/>
      <c r="B5" s="135"/>
      <c r="C5" s="135"/>
      <c r="D5" s="135"/>
      <c r="E5" s="135"/>
      <c r="F5" s="135"/>
      <c r="G5" s="135"/>
      <c r="H5" s="135"/>
      <c r="I5" s="135"/>
      <c r="J5" s="136"/>
      <c r="N5" s="80"/>
    </row>
    <row r="6" spans="1:20" ht="20.45" customHeight="1" x14ac:dyDescent="0.25">
      <c r="A6" s="87"/>
      <c r="B6" s="88" t="s">
        <v>330</v>
      </c>
      <c r="C6" s="89"/>
      <c r="D6" s="89"/>
      <c r="E6" s="42">
        <v>2024</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3</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44" t="s">
        <v>332</v>
      </c>
      <c r="B10" s="145"/>
      <c r="C10" s="145"/>
      <c r="D10" s="145"/>
      <c r="E10" s="145"/>
      <c r="F10" s="145"/>
      <c r="G10" s="145"/>
      <c r="H10" s="145"/>
      <c r="I10" s="145"/>
      <c r="J10" s="94"/>
    </row>
    <row r="11" spans="1:20" ht="24.6" customHeight="1" x14ac:dyDescent="0.25">
      <c r="A11" s="146" t="s">
        <v>309</v>
      </c>
      <c r="B11" s="147"/>
      <c r="C11" s="139" t="s">
        <v>449</v>
      </c>
      <c r="D11" s="140"/>
      <c r="E11" s="95"/>
      <c r="F11" s="148" t="s">
        <v>333</v>
      </c>
      <c r="G11" s="138"/>
      <c r="H11" s="149" t="s">
        <v>450</v>
      </c>
      <c r="I11" s="150"/>
      <c r="J11" s="96"/>
    </row>
    <row r="12" spans="1:20" ht="14.45" customHeight="1" x14ac:dyDescent="0.25">
      <c r="A12" s="97"/>
      <c r="B12" s="76"/>
      <c r="C12" s="76"/>
      <c r="D12" s="76"/>
      <c r="E12" s="142"/>
      <c r="F12" s="142"/>
      <c r="G12" s="142"/>
      <c r="H12" s="142"/>
      <c r="I12" s="98"/>
      <c r="J12" s="96"/>
    </row>
    <row r="13" spans="1:20" ht="21" customHeight="1" x14ac:dyDescent="0.25">
      <c r="A13" s="137" t="s">
        <v>324</v>
      </c>
      <c r="B13" s="138"/>
      <c r="C13" s="139" t="s">
        <v>452</v>
      </c>
      <c r="D13" s="140"/>
      <c r="E13" s="141"/>
      <c r="F13" s="142"/>
      <c r="G13" s="142"/>
      <c r="H13" s="142"/>
      <c r="I13" s="98"/>
      <c r="J13" s="96"/>
    </row>
    <row r="14" spans="1:20" ht="10.9" customHeight="1" x14ac:dyDescent="0.25">
      <c r="A14" s="95"/>
      <c r="B14" s="98"/>
      <c r="C14" s="76"/>
      <c r="D14" s="76"/>
      <c r="E14" s="143"/>
      <c r="F14" s="143"/>
      <c r="G14" s="143"/>
      <c r="H14" s="143"/>
      <c r="I14" s="76"/>
      <c r="J14" s="99"/>
    </row>
    <row r="15" spans="1:20" ht="22.9" customHeight="1" x14ac:dyDescent="0.25">
      <c r="A15" s="137" t="s">
        <v>310</v>
      </c>
      <c r="B15" s="138"/>
      <c r="C15" s="139" t="s">
        <v>453</v>
      </c>
      <c r="D15" s="140"/>
      <c r="E15" s="157"/>
      <c r="F15" s="158"/>
      <c r="G15" s="100" t="s">
        <v>334</v>
      </c>
      <c r="H15" s="149" t="s">
        <v>451</v>
      </c>
      <c r="I15" s="150"/>
      <c r="J15" s="101"/>
    </row>
    <row r="16" spans="1:20" ht="10.9" customHeight="1" x14ac:dyDescent="0.25">
      <c r="A16" s="95"/>
      <c r="B16" s="98"/>
      <c r="C16" s="76"/>
      <c r="D16" s="76"/>
      <c r="E16" s="143"/>
      <c r="F16" s="143"/>
      <c r="G16" s="143"/>
      <c r="H16" s="143"/>
      <c r="I16" s="76"/>
      <c r="J16" s="99"/>
    </row>
    <row r="17" spans="1:10" ht="22.9" customHeight="1" x14ac:dyDescent="0.25">
      <c r="A17" s="102"/>
      <c r="B17" s="100" t="s">
        <v>335</v>
      </c>
      <c r="C17" s="139" t="s">
        <v>454</v>
      </c>
      <c r="D17" s="140"/>
      <c r="E17" s="103"/>
      <c r="F17" s="103"/>
      <c r="G17" s="103"/>
      <c r="H17" s="103"/>
      <c r="I17" s="103"/>
      <c r="J17" s="101"/>
    </row>
    <row r="18" spans="1:10" x14ac:dyDescent="0.25">
      <c r="A18" s="151"/>
      <c r="B18" s="152"/>
      <c r="C18" s="143"/>
      <c r="D18" s="143"/>
      <c r="E18" s="143"/>
      <c r="F18" s="143"/>
      <c r="G18" s="143"/>
      <c r="H18" s="143"/>
      <c r="I18" s="76"/>
      <c r="J18" s="99"/>
    </row>
    <row r="19" spans="1:10" x14ac:dyDescent="0.25">
      <c r="A19" s="146" t="s">
        <v>311</v>
      </c>
      <c r="B19" s="153"/>
      <c r="C19" s="154" t="s">
        <v>455</v>
      </c>
      <c r="D19" s="155"/>
      <c r="E19" s="155"/>
      <c r="F19" s="155"/>
      <c r="G19" s="155"/>
      <c r="H19" s="155"/>
      <c r="I19" s="155"/>
      <c r="J19" s="156"/>
    </row>
    <row r="20" spans="1:10" x14ac:dyDescent="0.25">
      <c r="A20" s="97"/>
      <c r="B20" s="76"/>
      <c r="C20" s="104"/>
      <c r="D20" s="76"/>
      <c r="E20" s="143"/>
      <c r="F20" s="143"/>
      <c r="G20" s="143"/>
      <c r="H20" s="143"/>
      <c r="I20" s="76"/>
      <c r="J20" s="99"/>
    </row>
    <row r="21" spans="1:10" x14ac:dyDescent="0.25">
      <c r="A21" s="146" t="s">
        <v>312</v>
      </c>
      <c r="B21" s="153"/>
      <c r="C21" s="149">
        <v>51221</v>
      </c>
      <c r="D21" s="150"/>
      <c r="E21" s="143"/>
      <c r="F21" s="143"/>
      <c r="G21" s="154" t="s">
        <v>462</v>
      </c>
      <c r="H21" s="155"/>
      <c r="I21" s="155"/>
      <c r="J21" s="156"/>
    </row>
    <row r="22" spans="1:10" x14ac:dyDescent="0.25">
      <c r="A22" s="97"/>
      <c r="B22" s="76"/>
      <c r="C22" s="76"/>
      <c r="D22" s="76"/>
      <c r="E22" s="143"/>
      <c r="F22" s="143"/>
      <c r="G22" s="143"/>
      <c r="H22" s="143"/>
      <c r="I22" s="76"/>
      <c r="J22" s="99"/>
    </row>
    <row r="23" spans="1:10" x14ac:dyDescent="0.25">
      <c r="A23" s="146" t="s">
        <v>313</v>
      </c>
      <c r="B23" s="153"/>
      <c r="C23" s="154" t="s">
        <v>461</v>
      </c>
      <c r="D23" s="155"/>
      <c r="E23" s="155"/>
      <c r="F23" s="155"/>
      <c r="G23" s="155"/>
      <c r="H23" s="155"/>
      <c r="I23" s="155"/>
      <c r="J23" s="156"/>
    </row>
    <row r="24" spans="1:10" x14ac:dyDescent="0.25">
      <c r="A24" s="97"/>
      <c r="B24" s="76"/>
      <c r="C24" s="76"/>
      <c r="D24" s="76"/>
      <c r="E24" s="143"/>
      <c r="F24" s="143"/>
      <c r="G24" s="143"/>
      <c r="H24" s="143"/>
      <c r="I24" s="76"/>
      <c r="J24" s="99"/>
    </row>
    <row r="25" spans="1:10" x14ac:dyDescent="0.25">
      <c r="A25" s="146" t="s">
        <v>314</v>
      </c>
      <c r="B25" s="153"/>
      <c r="C25" s="160" t="s">
        <v>456</v>
      </c>
      <c r="D25" s="161"/>
      <c r="E25" s="161"/>
      <c r="F25" s="161"/>
      <c r="G25" s="161"/>
      <c r="H25" s="161"/>
      <c r="I25" s="161"/>
      <c r="J25" s="162"/>
    </row>
    <row r="26" spans="1:10" x14ac:dyDescent="0.25">
      <c r="A26" s="97"/>
      <c r="B26" s="76"/>
      <c r="C26" s="104"/>
      <c r="D26" s="76"/>
      <c r="E26" s="143"/>
      <c r="F26" s="143"/>
      <c r="G26" s="143"/>
      <c r="H26" s="143"/>
      <c r="I26" s="76"/>
      <c r="J26" s="99"/>
    </row>
    <row r="27" spans="1:10" x14ac:dyDescent="0.25">
      <c r="A27" s="146" t="s">
        <v>315</v>
      </c>
      <c r="B27" s="153"/>
      <c r="C27" s="160" t="s">
        <v>457</v>
      </c>
      <c r="D27" s="161"/>
      <c r="E27" s="161"/>
      <c r="F27" s="161"/>
      <c r="G27" s="161"/>
      <c r="H27" s="161"/>
      <c r="I27" s="161"/>
      <c r="J27" s="162"/>
    </row>
    <row r="28" spans="1:10" ht="13.9" customHeight="1" x14ac:dyDescent="0.25">
      <c r="A28" s="97"/>
      <c r="B28" s="76"/>
      <c r="C28" s="104"/>
      <c r="D28" s="76"/>
      <c r="E28" s="143"/>
      <c r="F28" s="143"/>
      <c r="G28" s="143"/>
      <c r="H28" s="143"/>
      <c r="I28" s="76"/>
      <c r="J28" s="99"/>
    </row>
    <row r="29" spans="1:10" ht="22.9" customHeight="1" x14ac:dyDescent="0.25">
      <c r="A29" s="137" t="s">
        <v>325</v>
      </c>
      <c r="B29" s="153"/>
      <c r="C29" s="44">
        <f>296+58</f>
        <v>354</v>
      </c>
      <c r="D29" s="105"/>
      <c r="E29" s="159"/>
      <c r="F29" s="159"/>
      <c r="G29" s="159"/>
      <c r="H29" s="159"/>
      <c r="I29" s="106"/>
      <c r="J29" s="107"/>
    </row>
    <row r="30" spans="1:10" x14ac:dyDescent="0.25">
      <c r="A30" s="97"/>
      <c r="B30" s="76"/>
      <c r="C30" s="76"/>
      <c r="D30" s="76"/>
      <c r="E30" s="143"/>
      <c r="F30" s="143"/>
      <c r="G30" s="143"/>
      <c r="H30" s="143"/>
      <c r="I30" s="106"/>
      <c r="J30" s="107"/>
    </row>
    <row r="31" spans="1:10" x14ac:dyDescent="0.25">
      <c r="A31" s="146" t="s">
        <v>316</v>
      </c>
      <c r="B31" s="153"/>
      <c r="C31" s="45" t="s">
        <v>338</v>
      </c>
      <c r="D31" s="163" t="s">
        <v>336</v>
      </c>
      <c r="E31" s="164"/>
      <c r="F31" s="164"/>
      <c r="G31" s="164"/>
      <c r="H31" s="76"/>
      <c r="I31" s="108" t="s">
        <v>337</v>
      </c>
      <c r="J31" s="109" t="s">
        <v>338</v>
      </c>
    </row>
    <row r="32" spans="1:10" x14ac:dyDescent="0.25">
      <c r="A32" s="146"/>
      <c r="B32" s="153"/>
      <c r="C32" s="110"/>
      <c r="D32" s="85"/>
      <c r="E32" s="158"/>
      <c r="F32" s="158"/>
      <c r="G32" s="158"/>
      <c r="H32" s="158"/>
      <c r="I32" s="106"/>
      <c r="J32" s="107"/>
    </row>
    <row r="33" spans="1:10" x14ac:dyDescent="0.25">
      <c r="A33" s="146" t="s">
        <v>326</v>
      </c>
      <c r="B33" s="153"/>
      <c r="C33" s="44" t="s">
        <v>340</v>
      </c>
      <c r="D33" s="163" t="s">
        <v>339</v>
      </c>
      <c r="E33" s="164"/>
      <c r="F33" s="164"/>
      <c r="G33" s="164"/>
      <c r="H33" s="103"/>
      <c r="I33" s="108" t="s">
        <v>340</v>
      </c>
      <c r="J33" s="109" t="s">
        <v>341</v>
      </c>
    </row>
    <row r="34" spans="1:10" x14ac:dyDescent="0.25">
      <c r="A34" s="97"/>
      <c r="B34" s="76"/>
      <c r="C34" s="76"/>
      <c r="D34" s="76"/>
      <c r="E34" s="143"/>
      <c r="F34" s="143"/>
      <c r="G34" s="143"/>
      <c r="H34" s="143"/>
      <c r="I34" s="76"/>
      <c r="J34" s="99"/>
    </row>
    <row r="35" spans="1:10" x14ac:dyDescent="0.25">
      <c r="A35" s="163" t="s">
        <v>327</v>
      </c>
      <c r="B35" s="164"/>
      <c r="C35" s="164"/>
      <c r="D35" s="164"/>
      <c r="E35" s="164" t="s">
        <v>317</v>
      </c>
      <c r="F35" s="164"/>
      <c r="G35" s="164"/>
      <c r="H35" s="164"/>
      <c r="I35" s="164"/>
      <c r="J35" s="111" t="s">
        <v>318</v>
      </c>
    </row>
    <row r="36" spans="1:10" x14ac:dyDescent="0.25">
      <c r="A36" s="97"/>
      <c r="B36" s="76"/>
      <c r="C36" s="76"/>
      <c r="D36" s="76"/>
      <c r="E36" s="143"/>
      <c r="F36" s="143"/>
      <c r="G36" s="143"/>
      <c r="H36" s="143"/>
      <c r="I36" s="76"/>
      <c r="J36" s="107"/>
    </row>
    <row r="37" spans="1:10" x14ac:dyDescent="0.25">
      <c r="A37" s="165" t="s">
        <v>463</v>
      </c>
      <c r="B37" s="166"/>
      <c r="C37" s="166"/>
      <c r="D37" s="166"/>
      <c r="E37" s="165" t="s">
        <v>464</v>
      </c>
      <c r="F37" s="166"/>
      <c r="G37" s="166"/>
      <c r="H37" s="166"/>
      <c r="I37" s="167"/>
      <c r="J37" s="124" t="s">
        <v>465</v>
      </c>
    </row>
    <row r="38" spans="1:10" x14ac:dyDescent="0.25">
      <c r="A38" s="97"/>
      <c r="B38" s="76"/>
      <c r="C38" s="104"/>
      <c r="D38" s="168"/>
      <c r="E38" s="168"/>
      <c r="F38" s="168"/>
      <c r="G38" s="168"/>
      <c r="H38" s="168"/>
      <c r="I38" s="168"/>
      <c r="J38" s="99"/>
    </row>
    <row r="39" spans="1:10" x14ac:dyDescent="0.25">
      <c r="A39" s="165"/>
      <c r="B39" s="166"/>
      <c r="C39" s="166"/>
      <c r="D39" s="167"/>
      <c r="E39" s="165"/>
      <c r="F39" s="166"/>
      <c r="G39" s="166"/>
      <c r="H39" s="166"/>
      <c r="I39" s="167"/>
      <c r="J39" s="44"/>
    </row>
    <row r="40" spans="1:10" x14ac:dyDescent="0.25">
      <c r="A40" s="97"/>
      <c r="B40" s="76"/>
      <c r="C40" s="104"/>
      <c r="D40" s="112"/>
      <c r="E40" s="168"/>
      <c r="F40" s="168"/>
      <c r="G40" s="168"/>
      <c r="H40" s="168"/>
      <c r="I40" s="98"/>
      <c r="J40" s="99"/>
    </row>
    <row r="41" spans="1:10" x14ac:dyDescent="0.25">
      <c r="A41" s="165"/>
      <c r="B41" s="166"/>
      <c r="C41" s="166"/>
      <c r="D41" s="167"/>
      <c r="E41" s="165"/>
      <c r="F41" s="166"/>
      <c r="G41" s="166"/>
      <c r="H41" s="166"/>
      <c r="I41" s="167"/>
      <c r="J41" s="44"/>
    </row>
    <row r="42" spans="1:10" x14ac:dyDescent="0.25">
      <c r="A42" s="97"/>
      <c r="B42" s="76"/>
      <c r="C42" s="104"/>
      <c r="D42" s="112"/>
      <c r="E42" s="168"/>
      <c r="F42" s="168"/>
      <c r="G42" s="168"/>
      <c r="H42" s="168"/>
      <c r="I42" s="98"/>
      <c r="J42" s="99"/>
    </row>
    <row r="43" spans="1:10" x14ac:dyDescent="0.25">
      <c r="A43" s="165"/>
      <c r="B43" s="166"/>
      <c r="C43" s="166"/>
      <c r="D43" s="167"/>
      <c r="E43" s="165"/>
      <c r="F43" s="166"/>
      <c r="G43" s="166"/>
      <c r="H43" s="166"/>
      <c r="I43" s="167"/>
      <c r="J43" s="44"/>
    </row>
    <row r="44" spans="1:10" x14ac:dyDescent="0.25">
      <c r="A44" s="113"/>
      <c r="B44" s="104"/>
      <c r="C44" s="169"/>
      <c r="D44" s="169"/>
      <c r="E44" s="143"/>
      <c r="F44" s="143"/>
      <c r="G44" s="169"/>
      <c r="H44" s="169"/>
      <c r="I44" s="169"/>
      <c r="J44" s="99"/>
    </row>
    <row r="45" spans="1:10" x14ac:dyDescent="0.25">
      <c r="A45" s="165"/>
      <c r="B45" s="166"/>
      <c r="C45" s="166"/>
      <c r="D45" s="167"/>
      <c r="E45" s="165"/>
      <c r="F45" s="166"/>
      <c r="G45" s="166"/>
      <c r="H45" s="166"/>
      <c r="I45" s="167"/>
      <c r="J45" s="44"/>
    </row>
    <row r="46" spans="1:10" x14ac:dyDescent="0.25">
      <c r="A46" s="113"/>
      <c r="B46" s="104"/>
      <c r="C46" s="104"/>
      <c r="D46" s="76"/>
      <c r="E46" s="143"/>
      <c r="F46" s="143"/>
      <c r="G46" s="169"/>
      <c r="H46" s="169"/>
      <c r="I46" s="76"/>
      <c r="J46" s="99"/>
    </row>
    <row r="47" spans="1:10" x14ac:dyDescent="0.25">
      <c r="A47" s="165"/>
      <c r="B47" s="166"/>
      <c r="C47" s="166"/>
      <c r="D47" s="167"/>
      <c r="E47" s="165"/>
      <c r="F47" s="166"/>
      <c r="G47" s="166"/>
      <c r="H47" s="166"/>
      <c r="I47" s="167"/>
      <c r="J47" s="44"/>
    </row>
    <row r="48" spans="1:10" x14ac:dyDescent="0.25">
      <c r="A48" s="113"/>
      <c r="B48" s="104"/>
      <c r="C48" s="104"/>
      <c r="D48" s="76"/>
      <c r="E48" s="143"/>
      <c r="F48" s="143"/>
      <c r="G48" s="169"/>
      <c r="H48" s="169"/>
      <c r="I48" s="76"/>
      <c r="J48" s="114" t="s">
        <v>342</v>
      </c>
    </row>
    <row r="49" spans="1:10" x14ac:dyDescent="0.25">
      <c r="A49" s="113"/>
      <c r="B49" s="104"/>
      <c r="C49" s="104"/>
      <c r="D49" s="76"/>
      <c r="E49" s="143"/>
      <c r="F49" s="143"/>
      <c r="G49" s="169"/>
      <c r="H49" s="169"/>
      <c r="I49" s="76"/>
      <c r="J49" s="114" t="s">
        <v>343</v>
      </c>
    </row>
    <row r="50" spans="1:10" ht="14.45" customHeight="1" x14ac:dyDescent="0.25">
      <c r="A50" s="137" t="s">
        <v>319</v>
      </c>
      <c r="B50" s="148"/>
      <c r="C50" s="149" t="s">
        <v>343</v>
      </c>
      <c r="D50" s="150"/>
      <c r="E50" s="174" t="s">
        <v>344</v>
      </c>
      <c r="F50" s="175"/>
      <c r="G50" s="154"/>
      <c r="H50" s="155"/>
      <c r="I50" s="155"/>
      <c r="J50" s="156"/>
    </row>
    <row r="51" spans="1:10" x14ac:dyDescent="0.25">
      <c r="A51" s="113"/>
      <c r="B51" s="104"/>
      <c r="C51" s="169"/>
      <c r="D51" s="169"/>
      <c r="E51" s="143"/>
      <c r="F51" s="143"/>
      <c r="G51" s="176" t="s">
        <v>345</v>
      </c>
      <c r="H51" s="176"/>
      <c r="I51" s="176"/>
      <c r="J51" s="90"/>
    </row>
    <row r="52" spans="1:10" ht="13.9" customHeight="1" x14ac:dyDescent="0.25">
      <c r="A52" s="137" t="s">
        <v>320</v>
      </c>
      <c r="B52" s="148"/>
      <c r="C52" s="154" t="s">
        <v>458</v>
      </c>
      <c r="D52" s="155"/>
      <c r="E52" s="155"/>
      <c r="F52" s="155"/>
      <c r="G52" s="155"/>
      <c r="H52" s="155"/>
      <c r="I52" s="155"/>
      <c r="J52" s="156"/>
    </row>
    <row r="53" spans="1:10" x14ac:dyDescent="0.25">
      <c r="A53" s="97"/>
      <c r="B53" s="76"/>
      <c r="C53" s="159" t="s">
        <v>321</v>
      </c>
      <c r="D53" s="159"/>
      <c r="E53" s="159"/>
      <c r="F53" s="159"/>
      <c r="G53" s="159"/>
      <c r="H53" s="159"/>
      <c r="I53" s="159"/>
      <c r="J53" s="99"/>
    </row>
    <row r="54" spans="1:10" x14ac:dyDescent="0.25">
      <c r="A54" s="137" t="s">
        <v>322</v>
      </c>
      <c r="B54" s="148"/>
      <c r="C54" s="170" t="s">
        <v>459</v>
      </c>
      <c r="D54" s="171"/>
      <c r="E54" s="172"/>
      <c r="F54" s="143"/>
      <c r="G54" s="143"/>
      <c r="H54" s="164"/>
      <c r="I54" s="164"/>
      <c r="J54" s="173"/>
    </row>
    <row r="55" spans="1:10" x14ac:dyDescent="0.25">
      <c r="A55" s="97"/>
      <c r="B55" s="76"/>
      <c r="C55" s="104"/>
      <c r="D55" s="76"/>
      <c r="E55" s="143"/>
      <c r="F55" s="143"/>
      <c r="G55" s="143"/>
      <c r="H55" s="143"/>
      <c r="I55" s="76"/>
      <c r="J55" s="99"/>
    </row>
    <row r="56" spans="1:10" ht="14.45" customHeight="1" x14ac:dyDescent="0.25">
      <c r="A56" s="137" t="s">
        <v>314</v>
      </c>
      <c r="B56" s="148"/>
      <c r="C56" s="177" t="s">
        <v>460</v>
      </c>
      <c r="D56" s="178"/>
      <c r="E56" s="178"/>
      <c r="F56" s="178"/>
      <c r="G56" s="178"/>
      <c r="H56" s="178"/>
      <c r="I56" s="178"/>
      <c r="J56" s="179"/>
    </row>
    <row r="57" spans="1:10" x14ac:dyDescent="0.25">
      <c r="A57" s="97"/>
      <c r="B57" s="76"/>
      <c r="C57" s="76"/>
      <c r="D57" s="76"/>
      <c r="E57" s="143"/>
      <c r="F57" s="143"/>
      <c r="G57" s="143"/>
      <c r="H57" s="143"/>
      <c r="I57" s="76"/>
      <c r="J57" s="99"/>
    </row>
    <row r="58" spans="1:10" x14ac:dyDescent="0.25">
      <c r="A58" s="137" t="s">
        <v>346</v>
      </c>
      <c r="B58" s="148"/>
      <c r="C58" s="177"/>
      <c r="D58" s="178"/>
      <c r="E58" s="178"/>
      <c r="F58" s="178"/>
      <c r="G58" s="178"/>
      <c r="H58" s="178"/>
      <c r="I58" s="178"/>
      <c r="J58" s="179"/>
    </row>
    <row r="59" spans="1:10" ht="14.45" customHeight="1" x14ac:dyDescent="0.25">
      <c r="A59" s="97"/>
      <c r="B59" s="76"/>
      <c r="C59" s="180" t="s">
        <v>347</v>
      </c>
      <c r="D59" s="180"/>
      <c r="E59" s="180"/>
      <c r="F59" s="180"/>
      <c r="G59" s="76"/>
      <c r="H59" s="76"/>
      <c r="I59" s="76"/>
      <c r="J59" s="99"/>
    </row>
    <row r="60" spans="1:10" x14ac:dyDescent="0.25">
      <c r="A60" s="137" t="s">
        <v>348</v>
      </c>
      <c r="B60" s="148"/>
      <c r="C60" s="177"/>
      <c r="D60" s="178"/>
      <c r="E60" s="178"/>
      <c r="F60" s="178"/>
      <c r="G60" s="178"/>
      <c r="H60" s="178"/>
      <c r="I60" s="178"/>
      <c r="J60" s="179"/>
    </row>
    <row r="61" spans="1:10" ht="14.45" customHeight="1" x14ac:dyDescent="0.25">
      <c r="A61" s="115"/>
      <c r="B61" s="116"/>
      <c r="C61" s="181" t="s">
        <v>349</v>
      </c>
      <c r="D61" s="181"/>
      <c r="E61" s="181"/>
      <c r="F61" s="181"/>
      <c r="G61" s="181"/>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62" sqref="A62:F62"/>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85" t="s">
        <v>1</v>
      </c>
      <c r="B1" s="186"/>
      <c r="C1" s="186"/>
      <c r="D1" s="186"/>
      <c r="E1" s="186"/>
      <c r="F1" s="186"/>
      <c r="G1" s="186"/>
      <c r="H1" s="186"/>
      <c r="I1" s="186"/>
    </row>
    <row r="2" spans="1:9" x14ac:dyDescent="0.2">
      <c r="A2" s="187" t="s">
        <v>468</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466</v>
      </c>
      <c r="B4" s="191"/>
      <c r="C4" s="191"/>
      <c r="D4" s="191"/>
      <c r="E4" s="191"/>
      <c r="F4" s="191"/>
      <c r="G4" s="191"/>
      <c r="H4" s="191"/>
      <c r="I4" s="192"/>
    </row>
    <row r="5" spans="1:9" ht="45" x14ac:dyDescent="0.2">
      <c r="A5" s="195" t="s">
        <v>2</v>
      </c>
      <c r="B5" s="196"/>
      <c r="C5" s="196"/>
      <c r="D5" s="196"/>
      <c r="E5" s="196"/>
      <c r="F5" s="196"/>
      <c r="G5" s="123" t="s">
        <v>101</v>
      </c>
      <c r="H5" s="10" t="s">
        <v>296</v>
      </c>
      <c r="I5" s="10" t="s">
        <v>297</v>
      </c>
    </row>
    <row r="6" spans="1:9" x14ac:dyDescent="0.2">
      <c r="A6" s="193">
        <v>1</v>
      </c>
      <c r="B6" s="194"/>
      <c r="C6" s="194"/>
      <c r="D6" s="194"/>
      <c r="E6" s="194"/>
      <c r="F6" s="194"/>
      <c r="G6" s="122">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19">
        <f>H10+H17+H27+H38+H43</f>
        <v>36182415</v>
      </c>
      <c r="I9" s="119">
        <f>I10+I17+I27+I38+I43</f>
        <v>47942940</v>
      </c>
    </row>
    <row r="10" spans="1:9" ht="12.75" customHeight="1" x14ac:dyDescent="0.2">
      <c r="A10" s="183" t="s">
        <v>5</v>
      </c>
      <c r="B10" s="183"/>
      <c r="C10" s="183"/>
      <c r="D10" s="183"/>
      <c r="E10" s="183"/>
      <c r="F10" s="183"/>
      <c r="G10" s="12">
        <v>3</v>
      </c>
      <c r="H10" s="119">
        <f>H11+H12+H13+H14+H15+H16</f>
        <v>476730</v>
      </c>
      <c r="I10" s="119">
        <f>I11+I12+I13+I14+I15+I16</f>
        <v>454989</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476730</v>
      </c>
      <c r="I12" s="18">
        <v>454989</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19">
        <f>H18+H19+H20+H21+H22+H23+H24+H25+H26</f>
        <v>35654266</v>
      </c>
      <c r="I17" s="119">
        <f>I18+I19+I20+I21+I22+I23+I24+I25+I26</f>
        <v>47455918</v>
      </c>
    </row>
    <row r="18" spans="1:9" ht="12.75" customHeight="1" x14ac:dyDescent="0.2">
      <c r="A18" s="182" t="s">
        <v>13</v>
      </c>
      <c r="B18" s="182"/>
      <c r="C18" s="182"/>
      <c r="D18" s="182"/>
      <c r="E18" s="182"/>
      <c r="F18" s="182"/>
      <c r="G18" s="11">
        <v>11</v>
      </c>
      <c r="H18" s="18">
        <v>736039</v>
      </c>
      <c r="I18" s="18">
        <v>736039</v>
      </c>
    </row>
    <row r="19" spans="1:9" ht="12.75" customHeight="1" x14ac:dyDescent="0.2">
      <c r="A19" s="182" t="s">
        <v>14</v>
      </c>
      <c r="B19" s="182"/>
      <c r="C19" s="182"/>
      <c r="D19" s="182"/>
      <c r="E19" s="182"/>
      <c r="F19" s="182"/>
      <c r="G19" s="11">
        <v>12</v>
      </c>
      <c r="H19" s="18">
        <v>179786</v>
      </c>
      <c r="I19" s="18">
        <v>165874</v>
      </c>
    </row>
    <row r="20" spans="1:9" ht="12.75" customHeight="1" x14ac:dyDescent="0.2">
      <c r="A20" s="182" t="s">
        <v>15</v>
      </c>
      <c r="B20" s="182"/>
      <c r="C20" s="182"/>
      <c r="D20" s="182"/>
      <c r="E20" s="182"/>
      <c r="F20" s="182"/>
      <c r="G20" s="11">
        <v>13</v>
      </c>
      <c r="H20" s="18">
        <v>19036821</v>
      </c>
      <c r="I20" s="18">
        <v>15894866</v>
      </c>
    </row>
    <row r="21" spans="1:9" ht="12.75" customHeight="1" x14ac:dyDescent="0.2">
      <c r="A21" s="182" t="s">
        <v>16</v>
      </c>
      <c r="B21" s="182"/>
      <c r="C21" s="182"/>
      <c r="D21" s="182"/>
      <c r="E21" s="182"/>
      <c r="F21" s="182"/>
      <c r="G21" s="11">
        <v>14</v>
      </c>
      <c r="H21" s="18">
        <v>470567</v>
      </c>
      <c r="I21" s="18">
        <v>390661</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267634</v>
      </c>
      <c r="I23" s="18">
        <v>0</v>
      </c>
    </row>
    <row r="24" spans="1:9" ht="12.75" customHeight="1" x14ac:dyDescent="0.2">
      <c r="A24" s="182" t="s">
        <v>19</v>
      </c>
      <c r="B24" s="182"/>
      <c r="C24" s="182"/>
      <c r="D24" s="182"/>
      <c r="E24" s="182"/>
      <c r="F24" s="182"/>
      <c r="G24" s="11">
        <v>17</v>
      </c>
      <c r="H24" s="18">
        <v>14697013</v>
      </c>
      <c r="I24" s="18">
        <v>30002072</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266406</v>
      </c>
      <c r="I26" s="18">
        <v>266406</v>
      </c>
    </row>
    <row r="27" spans="1:9" ht="12.75" customHeight="1" x14ac:dyDescent="0.2">
      <c r="A27" s="183" t="s">
        <v>22</v>
      </c>
      <c r="B27" s="183"/>
      <c r="C27" s="183"/>
      <c r="D27" s="183"/>
      <c r="E27" s="183"/>
      <c r="F27" s="183"/>
      <c r="G27" s="12">
        <v>20</v>
      </c>
      <c r="H27" s="119">
        <f>SUM(H28:H37)</f>
        <v>36944</v>
      </c>
      <c r="I27" s="119">
        <f>SUM(I28:I37)</f>
        <v>17558</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17558</v>
      </c>
      <c r="I34" s="18">
        <v>17558</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19386</v>
      </c>
      <c r="I37" s="18">
        <v>0</v>
      </c>
    </row>
    <row r="38" spans="1:9" ht="12.75" customHeight="1" x14ac:dyDescent="0.2">
      <c r="A38" s="183" t="s">
        <v>33</v>
      </c>
      <c r="B38" s="183"/>
      <c r="C38" s="183"/>
      <c r="D38" s="183"/>
      <c r="E38" s="183"/>
      <c r="F38" s="183"/>
      <c r="G38" s="12">
        <v>31</v>
      </c>
      <c r="H38" s="119">
        <f>H39+H40+H41+H42</f>
        <v>0</v>
      </c>
      <c r="I38" s="119">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14475</v>
      </c>
      <c r="I43" s="18">
        <v>14475</v>
      </c>
    </row>
    <row r="44" spans="1:9" ht="12.75" customHeight="1" x14ac:dyDescent="0.2">
      <c r="A44" s="184" t="s">
        <v>303</v>
      </c>
      <c r="B44" s="184"/>
      <c r="C44" s="184"/>
      <c r="D44" s="184"/>
      <c r="E44" s="184"/>
      <c r="F44" s="184"/>
      <c r="G44" s="12">
        <v>37</v>
      </c>
      <c r="H44" s="119">
        <f>H45+H53+H60+H70</f>
        <v>31050500</v>
      </c>
      <c r="I44" s="119">
        <f>I45+I53+I60+I70</f>
        <v>28037618</v>
      </c>
    </row>
    <row r="45" spans="1:9" ht="12.75" customHeight="1" x14ac:dyDescent="0.2">
      <c r="A45" s="183" t="s">
        <v>39</v>
      </c>
      <c r="B45" s="183"/>
      <c r="C45" s="183"/>
      <c r="D45" s="183"/>
      <c r="E45" s="183"/>
      <c r="F45" s="183"/>
      <c r="G45" s="12">
        <v>38</v>
      </c>
      <c r="H45" s="119">
        <f>SUM(H46:H52)</f>
        <v>6419312</v>
      </c>
      <c r="I45" s="119">
        <f>SUM(I46:I52)</f>
        <v>4465014</v>
      </c>
    </row>
    <row r="46" spans="1:9" ht="12.75" customHeight="1" x14ac:dyDescent="0.2">
      <c r="A46" s="182" t="s">
        <v>40</v>
      </c>
      <c r="B46" s="182"/>
      <c r="C46" s="182"/>
      <c r="D46" s="182"/>
      <c r="E46" s="182"/>
      <c r="F46" s="182"/>
      <c r="G46" s="11">
        <v>39</v>
      </c>
      <c r="H46" s="18">
        <v>6419312</v>
      </c>
      <c r="I46" s="18">
        <v>4465014</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19">
        <f>SUM(H54:H59)</f>
        <v>11234669</v>
      </c>
      <c r="I53" s="119">
        <f>SUM(I54:I59)</f>
        <v>14120759</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f>3934911+180675</f>
        <v>4115586</v>
      </c>
      <c r="I56" s="18">
        <v>4428856</v>
      </c>
    </row>
    <row r="57" spans="1:9" ht="12.75" customHeight="1" x14ac:dyDescent="0.2">
      <c r="A57" s="182" t="s">
        <v>51</v>
      </c>
      <c r="B57" s="182"/>
      <c r="C57" s="182"/>
      <c r="D57" s="182"/>
      <c r="E57" s="182"/>
      <c r="F57" s="182"/>
      <c r="G57" s="11">
        <v>50</v>
      </c>
      <c r="H57" s="18">
        <v>95728</v>
      </c>
      <c r="I57" s="18">
        <v>112031</v>
      </c>
    </row>
    <row r="58" spans="1:9" ht="12.75" customHeight="1" x14ac:dyDescent="0.2">
      <c r="A58" s="182" t="s">
        <v>52</v>
      </c>
      <c r="B58" s="182"/>
      <c r="C58" s="182"/>
      <c r="D58" s="182"/>
      <c r="E58" s="182"/>
      <c r="F58" s="182"/>
      <c r="G58" s="11">
        <v>51</v>
      </c>
      <c r="H58" s="18">
        <v>2192279</v>
      </c>
      <c r="I58" s="18">
        <v>1860383</v>
      </c>
    </row>
    <row r="59" spans="1:9" ht="12.75" customHeight="1" x14ac:dyDescent="0.2">
      <c r="A59" s="182" t="s">
        <v>53</v>
      </c>
      <c r="B59" s="182"/>
      <c r="C59" s="182"/>
      <c r="D59" s="182"/>
      <c r="E59" s="182"/>
      <c r="F59" s="182"/>
      <c r="G59" s="11">
        <v>52</v>
      </c>
      <c r="H59" s="18">
        <v>4831076</v>
      </c>
      <c r="I59" s="18">
        <v>7719489</v>
      </c>
    </row>
    <row r="60" spans="1:9" ht="12.75" customHeight="1" x14ac:dyDescent="0.2">
      <c r="A60" s="183" t="s">
        <v>54</v>
      </c>
      <c r="B60" s="183"/>
      <c r="C60" s="183"/>
      <c r="D60" s="183"/>
      <c r="E60" s="183"/>
      <c r="F60" s="183"/>
      <c r="G60" s="12">
        <v>53</v>
      </c>
      <c r="H60" s="119">
        <f>SUM(H61:H69)</f>
        <v>43400</v>
      </c>
      <c r="I60" s="119">
        <f>SUM(I61:I69)</f>
        <v>11000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43400</v>
      </c>
      <c r="I68" s="18">
        <v>11000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13353119</v>
      </c>
      <c r="I70" s="18">
        <v>9440845</v>
      </c>
    </row>
    <row r="71" spans="1:9" ht="12.75" customHeight="1" x14ac:dyDescent="0.2">
      <c r="A71" s="198" t="s">
        <v>58</v>
      </c>
      <c r="B71" s="198"/>
      <c r="C71" s="198"/>
      <c r="D71" s="198"/>
      <c r="E71" s="198"/>
      <c r="F71" s="198"/>
      <c r="G71" s="11">
        <v>64</v>
      </c>
      <c r="H71" s="18">
        <v>3950949</v>
      </c>
      <c r="I71" s="18">
        <v>3424314</v>
      </c>
    </row>
    <row r="72" spans="1:9" ht="12.75" customHeight="1" x14ac:dyDescent="0.2">
      <c r="A72" s="184" t="s">
        <v>304</v>
      </c>
      <c r="B72" s="184"/>
      <c r="C72" s="184"/>
      <c r="D72" s="184"/>
      <c r="E72" s="184"/>
      <c r="F72" s="184"/>
      <c r="G72" s="12">
        <v>65</v>
      </c>
      <c r="H72" s="119">
        <f>H8+H9+H44+H71</f>
        <v>71183864</v>
      </c>
      <c r="I72" s="119">
        <f>I8+I9+I44+I71</f>
        <v>79404872</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0">
        <f>H76+H77+H78+H84+H85+H91+H94+H97</f>
        <v>50008692</v>
      </c>
      <c r="I75" s="120">
        <f>I76+I77+I78+I84+I85+I91+I94+I97</f>
        <v>56172020</v>
      </c>
    </row>
    <row r="76" spans="1:9" ht="12.75" customHeight="1" x14ac:dyDescent="0.2">
      <c r="A76" s="182" t="s">
        <v>61</v>
      </c>
      <c r="B76" s="182"/>
      <c r="C76" s="182"/>
      <c r="D76" s="182"/>
      <c r="E76" s="182"/>
      <c r="F76" s="182"/>
      <c r="G76" s="11">
        <v>68</v>
      </c>
      <c r="H76" s="18">
        <v>22315014</v>
      </c>
      <c r="I76" s="18">
        <v>22315014</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0">
        <f>SUM(H79:H83)</f>
        <v>22934462</v>
      </c>
      <c r="I78" s="120">
        <f>SUM(I79:I83)</f>
        <v>27660444</v>
      </c>
    </row>
    <row r="79" spans="1:9" ht="12.75" customHeight="1" x14ac:dyDescent="0.2">
      <c r="A79" s="182" t="s">
        <v>64</v>
      </c>
      <c r="B79" s="182"/>
      <c r="C79" s="182"/>
      <c r="D79" s="182"/>
      <c r="E79" s="182"/>
      <c r="F79" s="182"/>
      <c r="G79" s="11">
        <v>71</v>
      </c>
      <c r="H79" s="18">
        <v>1115751</v>
      </c>
      <c r="I79" s="18">
        <v>1115751</v>
      </c>
    </row>
    <row r="80" spans="1:9" ht="12.75" customHeight="1" x14ac:dyDescent="0.2">
      <c r="A80" s="182" t="s">
        <v>65</v>
      </c>
      <c r="B80" s="182"/>
      <c r="C80" s="182"/>
      <c r="D80" s="182"/>
      <c r="E80" s="182"/>
      <c r="F80" s="182"/>
      <c r="G80" s="11">
        <v>72</v>
      </c>
      <c r="H80" s="18">
        <v>1664344</v>
      </c>
      <c r="I80" s="18">
        <v>1664344</v>
      </c>
    </row>
    <row r="81" spans="1:9" ht="12.75" customHeight="1" x14ac:dyDescent="0.2">
      <c r="A81" s="182" t="s">
        <v>66</v>
      </c>
      <c r="B81" s="182"/>
      <c r="C81" s="182"/>
      <c r="D81" s="182"/>
      <c r="E81" s="182"/>
      <c r="F81" s="182"/>
      <c r="G81" s="11">
        <v>73</v>
      </c>
      <c r="H81" s="18">
        <v>-1069185</v>
      </c>
      <c r="I81" s="18">
        <v>-1069185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21223552</v>
      </c>
      <c r="I83" s="18">
        <f>21220286+3266+4725982</f>
        <v>25949534</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19">
        <f>H86+H87+H88+H89+H90</f>
        <v>0</v>
      </c>
      <c r="I85" s="119">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19">
        <f>H92-H93</f>
        <v>0</v>
      </c>
      <c r="I91" s="119">
        <f>I92-I93</f>
        <v>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19">
        <f>H95-H96</f>
        <v>4729248</v>
      </c>
      <c r="I94" s="119">
        <f>I95-I96</f>
        <v>6163328</v>
      </c>
    </row>
    <row r="95" spans="1:9" ht="12.75" customHeight="1" x14ac:dyDescent="0.2">
      <c r="A95" s="182" t="s">
        <v>74</v>
      </c>
      <c r="B95" s="182"/>
      <c r="C95" s="182"/>
      <c r="D95" s="182"/>
      <c r="E95" s="182"/>
      <c r="F95" s="182"/>
      <c r="G95" s="11">
        <v>87</v>
      </c>
      <c r="H95" s="18">
        <v>4729248</v>
      </c>
      <c r="I95" s="18">
        <v>6163328</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29968</v>
      </c>
      <c r="I97" s="18">
        <v>33234</v>
      </c>
    </row>
    <row r="98" spans="1:9" ht="12.75" customHeight="1" x14ac:dyDescent="0.2">
      <c r="A98" s="184" t="s">
        <v>355</v>
      </c>
      <c r="B98" s="184"/>
      <c r="C98" s="184"/>
      <c r="D98" s="184"/>
      <c r="E98" s="184"/>
      <c r="F98" s="184"/>
      <c r="G98" s="12">
        <v>90</v>
      </c>
      <c r="H98" s="119">
        <f>SUM(H99:H104)</f>
        <v>2253238</v>
      </c>
      <c r="I98" s="119">
        <f>SUM(I99:I104)</f>
        <v>1690691</v>
      </c>
    </row>
    <row r="99" spans="1:9" ht="12.75" customHeight="1" x14ac:dyDescent="0.2">
      <c r="A99" s="182" t="s">
        <v>77</v>
      </c>
      <c r="B99" s="182"/>
      <c r="C99" s="182"/>
      <c r="D99" s="182"/>
      <c r="E99" s="182"/>
      <c r="F99" s="182"/>
      <c r="G99" s="11">
        <v>91</v>
      </c>
      <c r="H99" s="18">
        <v>343991</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1909247</v>
      </c>
      <c r="I101" s="18">
        <v>1690691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19">
        <f>SUM(H106:H116)</f>
        <v>837446</v>
      </c>
      <c r="I105" s="119">
        <f>SUM(I106:I116)</f>
        <v>837318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1305</v>
      </c>
      <c r="I110" s="18">
        <v>1305</v>
      </c>
    </row>
    <row r="111" spans="1:9" ht="12.75" customHeight="1" x14ac:dyDescent="0.2">
      <c r="A111" s="182" t="s">
        <v>88</v>
      </c>
      <c r="B111" s="182"/>
      <c r="C111" s="182"/>
      <c r="D111" s="182"/>
      <c r="E111" s="182"/>
      <c r="F111" s="182"/>
      <c r="G111" s="11">
        <v>103</v>
      </c>
      <c r="H111" s="18">
        <v>281547</v>
      </c>
      <c r="I111" s="18">
        <v>281419</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552322</v>
      </c>
      <c r="I115" s="18">
        <v>552322</v>
      </c>
    </row>
    <row r="116" spans="1:9" ht="12.75" customHeight="1" x14ac:dyDescent="0.2">
      <c r="A116" s="182" t="s">
        <v>93</v>
      </c>
      <c r="B116" s="182"/>
      <c r="C116" s="182"/>
      <c r="D116" s="182"/>
      <c r="E116" s="182"/>
      <c r="F116" s="182"/>
      <c r="G116" s="11">
        <v>108</v>
      </c>
      <c r="H116" s="18">
        <v>2272</v>
      </c>
      <c r="I116" s="18">
        <v>2272</v>
      </c>
    </row>
    <row r="117" spans="1:9" ht="12.75" customHeight="1" x14ac:dyDescent="0.2">
      <c r="A117" s="184" t="s">
        <v>357</v>
      </c>
      <c r="B117" s="184"/>
      <c r="C117" s="184"/>
      <c r="D117" s="184"/>
      <c r="E117" s="184"/>
      <c r="F117" s="184"/>
      <c r="G117" s="12">
        <v>109</v>
      </c>
      <c r="H117" s="119">
        <f>SUM(H118:H131)</f>
        <v>11076879</v>
      </c>
      <c r="I117" s="119">
        <f>SUM(I118:I131)</f>
        <v>13159435</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228006</v>
      </c>
      <c r="I123" s="18">
        <v>685326</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8950817</v>
      </c>
      <c r="I125" s="18">
        <v>10474115</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574684</v>
      </c>
      <c r="I127" s="18">
        <v>633008</v>
      </c>
    </row>
    <row r="128" spans="1:9" x14ac:dyDescent="0.2">
      <c r="A128" s="182" t="s">
        <v>95</v>
      </c>
      <c r="B128" s="182"/>
      <c r="C128" s="182"/>
      <c r="D128" s="182"/>
      <c r="E128" s="182"/>
      <c r="F128" s="182"/>
      <c r="G128" s="11">
        <v>120</v>
      </c>
      <c r="H128" s="18">
        <v>1055622</v>
      </c>
      <c r="I128" s="18">
        <v>1246383</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267750</v>
      </c>
      <c r="I131" s="18">
        <v>120603</v>
      </c>
    </row>
    <row r="132" spans="1:9" ht="22.15" customHeight="1" x14ac:dyDescent="0.2">
      <c r="A132" s="198" t="s">
        <v>99</v>
      </c>
      <c r="B132" s="198"/>
      <c r="C132" s="198"/>
      <c r="D132" s="198"/>
      <c r="E132" s="198"/>
      <c r="F132" s="198"/>
      <c r="G132" s="11">
        <v>124</v>
      </c>
      <c r="H132" s="18">
        <v>7007609</v>
      </c>
      <c r="I132" s="18">
        <v>7545408</v>
      </c>
    </row>
    <row r="133" spans="1:9" ht="12.75" customHeight="1" x14ac:dyDescent="0.2">
      <c r="A133" s="184" t="s">
        <v>358</v>
      </c>
      <c r="B133" s="184"/>
      <c r="C133" s="184"/>
      <c r="D133" s="184"/>
      <c r="E133" s="184"/>
      <c r="F133" s="184"/>
      <c r="G133" s="12">
        <v>125</v>
      </c>
      <c r="H133" s="119">
        <f>H75+H98+H105+H117+H132</f>
        <v>71183864</v>
      </c>
      <c r="I133" s="119">
        <f>I75+I98+I105+I117+I132</f>
        <v>79404872</v>
      </c>
    </row>
    <row r="134" spans="1:9" x14ac:dyDescent="0.2">
      <c r="A134" s="198" t="s">
        <v>100</v>
      </c>
      <c r="B134" s="198"/>
      <c r="C134" s="198"/>
      <c r="D134" s="198"/>
      <c r="E134" s="198"/>
      <c r="F134" s="198"/>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disablePrompts="1"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B1" zoomScaleNormal="100" zoomScaleSheetLayoutView="110" workbookViewId="0">
      <selection activeCell="H121" sqref="H12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469</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467</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65951061</v>
      </c>
      <c r="I8" s="52">
        <f>SUM(I9:I13)</f>
        <v>23530623</v>
      </c>
      <c r="J8" s="52">
        <f>SUM(J9:J13)</f>
        <v>73762215</v>
      </c>
      <c r="K8" s="52">
        <f>SUM(K9:K13)</f>
        <v>20476694</v>
      </c>
    </row>
    <row r="9" spans="1:11" ht="12.75" customHeight="1" x14ac:dyDescent="0.2">
      <c r="A9" s="182" t="s">
        <v>115</v>
      </c>
      <c r="B9" s="182"/>
      <c r="C9" s="182"/>
      <c r="D9" s="182"/>
      <c r="E9" s="182"/>
      <c r="F9" s="182"/>
      <c r="G9" s="11">
        <v>2</v>
      </c>
      <c r="H9" s="53">
        <v>0</v>
      </c>
      <c r="I9" s="53">
        <f>+H9</f>
        <v>0</v>
      </c>
      <c r="J9" s="53">
        <v>0</v>
      </c>
      <c r="K9" s="53">
        <f>+J9</f>
        <v>0</v>
      </c>
    </row>
    <row r="10" spans="1:11" ht="12.75" customHeight="1" x14ac:dyDescent="0.2">
      <c r="A10" s="182" t="s">
        <v>116</v>
      </c>
      <c r="B10" s="182"/>
      <c r="C10" s="182"/>
      <c r="D10" s="182"/>
      <c r="E10" s="182"/>
      <c r="F10" s="182"/>
      <c r="G10" s="11">
        <v>3</v>
      </c>
      <c r="H10" s="53">
        <v>57917184</v>
      </c>
      <c r="I10" s="53">
        <f>+H10-40393168</f>
        <v>17524016</v>
      </c>
      <c r="J10" s="53">
        <v>53851646</v>
      </c>
      <c r="K10" s="53">
        <f>+J10-36909231</f>
        <v>16942415</v>
      </c>
    </row>
    <row r="11" spans="1:11" ht="12.75" customHeight="1" x14ac:dyDescent="0.2">
      <c r="A11" s="182" t="s">
        <v>117</v>
      </c>
      <c r="B11" s="182"/>
      <c r="C11" s="182"/>
      <c r="D11" s="182"/>
      <c r="E11" s="182"/>
      <c r="F11" s="182"/>
      <c r="G11" s="11">
        <v>4</v>
      </c>
      <c r="H11" s="53">
        <v>6623382</v>
      </c>
      <c r="I11" s="53">
        <f>+H11-1087426</f>
        <v>5535956</v>
      </c>
      <c r="J11" s="53">
        <v>15577850</v>
      </c>
      <c r="K11" s="53">
        <f>+J11-12626699</f>
        <v>2951151</v>
      </c>
    </row>
    <row r="12" spans="1:11" ht="12.75" customHeight="1" x14ac:dyDescent="0.2">
      <c r="A12" s="182" t="s">
        <v>118</v>
      </c>
      <c r="B12" s="182"/>
      <c r="C12" s="182"/>
      <c r="D12" s="182"/>
      <c r="E12" s="182"/>
      <c r="F12" s="182"/>
      <c r="G12" s="11">
        <v>5</v>
      </c>
      <c r="H12" s="53">
        <v>0</v>
      </c>
      <c r="I12" s="53">
        <f t="shared" ref="I12" si="0">+H12</f>
        <v>0</v>
      </c>
      <c r="J12" s="53">
        <v>0</v>
      </c>
      <c r="K12" s="53">
        <f t="shared" ref="K12" si="1">+J12</f>
        <v>0</v>
      </c>
    </row>
    <row r="13" spans="1:11" ht="12.75" customHeight="1" x14ac:dyDescent="0.2">
      <c r="A13" s="182" t="s">
        <v>119</v>
      </c>
      <c r="B13" s="182"/>
      <c r="C13" s="182"/>
      <c r="D13" s="182"/>
      <c r="E13" s="182"/>
      <c r="F13" s="182"/>
      <c r="G13" s="11">
        <v>6</v>
      </c>
      <c r="H13" s="53">
        <v>1410495</v>
      </c>
      <c r="I13" s="53">
        <f>+H13-939844</f>
        <v>470651</v>
      </c>
      <c r="J13" s="53">
        <v>4332719</v>
      </c>
      <c r="K13" s="53">
        <f>+J13-3749591</f>
        <v>583128</v>
      </c>
    </row>
    <row r="14" spans="1:11" ht="12.75" customHeight="1" x14ac:dyDescent="0.2">
      <c r="A14" s="216" t="s">
        <v>360</v>
      </c>
      <c r="B14" s="216"/>
      <c r="C14" s="216"/>
      <c r="D14" s="216"/>
      <c r="E14" s="216"/>
      <c r="F14" s="216"/>
      <c r="G14" s="12">
        <v>7</v>
      </c>
      <c r="H14" s="52">
        <f>H15+H16+H20+H24+H25+H26+H29+H36</f>
        <v>59222745</v>
      </c>
      <c r="I14" s="52">
        <f>I15+I16+I20+I24+I25+I26+I29+I36</f>
        <v>21051375</v>
      </c>
      <c r="J14" s="52">
        <f>J15+J16+J20+J24+J25+J26+J29+J36</f>
        <v>66360390</v>
      </c>
      <c r="K14" s="52">
        <f>K15+K16+K20+K24+K25+K26+K29+K36</f>
        <v>18982499</v>
      </c>
    </row>
    <row r="15" spans="1:11" ht="12.75" customHeight="1" x14ac:dyDescent="0.2">
      <c r="A15" s="182" t="s">
        <v>104</v>
      </c>
      <c r="B15" s="182"/>
      <c r="C15" s="182"/>
      <c r="D15" s="182"/>
      <c r="E15" s="182"/>
      <c r="F15" s="182"/>
      <c r="G15" s="11">
        <v>8</v>
      </c>
      <c r="H15" s="53">
        <v>0</v>
      </c>
      <c r="I15" s="53">
        <f t="shared" ref="I15:I28" si="2">+H15-0</f>
        <v>0</v>
      </c>
      <c r="J15" s="53">
        <v>0</v>
      </c>
      <c r="K15" s="53">
        <f t="shared" ref="K15:K27" si="3">+J15-0</f>
        <v>0</v>
      </c>
    </row>
    <row r="16" spans="1:11" ht="12.75" customHeight="1" x14ac:dyDescent="0.2">
      <c r="A16" s="183" t="s">
        <v>440</v>
      </c>
      <c r="B16" s="183"/>
      <c r="C16" s="183"/>
      <c r="D16" s="183"/>
      <c r="E16" s="183"/>
      <c r="F16" s="183"/>
      <c r="G16" s="12">
        <v>9</v>
      </c>
      <c r="H16" s="52">
        <f>SUM(H17:H19)</f>
        <v>45139721</v>
      </c>
      <c r="I16" s="52">
        <f>SUM(I17:I19)</f>
        <v>16312708</v>
      </c>
      <c r="J16" s="52">
        <f>SUM(J17:J19)</f>
        <v>51345578</v>
      </c>
      <c r="K16" s="52">
        <f>SUM(K17:K19)</f>
        <v>13981529</v>
      </c>
    </row>
    <row r="17" spans="1:11" ht="12.75" customHeight="1" x14ac:dyDescent="0.2">
      <c r="A17" s="217" t="s">
        <v>120</v>
      </c>
      <c r="B17" s="217"/>
      <c r="C17" s="217"/>
      <c r="D17" s="217"/>
      <c r="E17" s="217"/>
      <c r="F17" s="217"/>
      <c r="G17" s="11">
        <v>10</v>
      </c>
      <c r="H17" s="53">
        <v>12641063</v>
      </c>
      <c r="I17" s="53">
        <f>+H17-7204161</f>
        <v>5436902</v>
      </c>
      <c r="J17" s="53">
        <v>12281683</v>
      </c>
      <c r="K17" s="53">
        <f>+J17-8920989</f>
        <v>3360694</v>
      </c>
    </row>
    <row r="18" spans="1:11" ht="12.75" customHeight="1" x14ac:dyDescent="0.2">
      <c r="A18" s="217" t="s">
        <v>121</v>
      </c>
      <c r="B18" s="217"/>
      <c r="C18" s="217"/>
      <c r="D18" s="217"/>
      <c r="E18" s="217"/>
      <c r="F18" s="217"/>
      <c r="G18" s="11">
        <v>11</v>
      </c>
      <c r="H18" s="53">
        <v>0</v>
      </c>
      <c r="I18" s="53">
        <f t="shared" ref="I18" si="4">+H18</f>
        <v>0</v>
      </c>
      <c r="J18" s="53">
        <v>0</v>
      </c>
      <c r="K18" s="53">
        <f t="shared" ref="K18" si="5">+J18</f>
        <v>0</v>
      </c>
    </row>
    <row r="19" spans="1:11" ht="12.75" customHeight="1" x14ac:dyDescent="0.2">
      <c r="A19" s="217" t="s">
        <v>122</v>
      </c>
      <c r="B19" s="217"/>
      <c r="C19" s="217"/>
      <c r="D19" s="217"/>
      <c r="E19" s="217"/>
      <c r="F19" s="217"/>
      <c r="G19" s="11">
        <v>12</v>
      </c>
      <c r="H19" s="53">
        <v>32498658</v>
      </c>
      <c r="I19" s="53">
        <f>+H19-21622852</f>
        <v>10875806</v>
      </c>
      <c r="J19" s="53">
        <v>39063895</v>
      </c>
      <c r="K19" s="53">
        <f>+J19-28443060</f>
        <v>10620835</v>
      </c>
    </row>
    <row r="20" spans="1:11" ht="12.75" customHeight="1" x14ac:dyDescent="0.2">
      <c r="A20" s="183" t="s">
        <v>441</v>
      </c>
      <c r="B20" s="183"/>
      <c r="C20" s="183"/>
      <c r="D20" s="183"/>
      <c r="E20" s="183"/>
      <c r="F20" s="183"/>
      <c r="G20" s="12">
        <v>13</v>
      </c>
      <c r="H20" s="52">
        <f>SUM(H21:H23)</f>
        <v>8054272</v>
      </c>
      <c r="I20" s="52">
        <f>SUM(I21:I23)</f>
        <v>2774658</v>
      </c>
      <c r="J20" s="52">
        <f>SUM(J21:J23)</f>
        <v>9238780</v>
      </c>
      <c r="K20" s="52">
        <f>SUM(K21:K23)</f>
        <v>3152200</v>
      </c>
    </row>
    <row r="21" spans="1:11" ht="12.75" customHeight="1" x14ac:dyDescent="0.2">
      <c r="A21" s="217" t="s">
        <v>105</v>
      </c>
      <c r="B21" s="217"/>
      <c r="C21" s="217"/>
      <c r="D21" s="217"/>
      <c r="E21" s="217"/>
      <c r="F21" s="217"/>
      <c r="G21" s="11">
        <v>14</v>
      </c>
      <c r="H21" s="53">
        <v>5057503</v>
      </c>
      <c r="I21" s="53">
        <f>+H21-3325793</f>
        <v>1731710</v>
      </c>
      <c r="J21" s="53">
        <v>5740853</v>
      </c>
      <c r="K21" s="53">
        <f>+J21-3805796</f>
        <v>1935057</v>
      </c>
    </row>
    <row r="22" spans="1:11" ht="12.75" customHeight="1" x14ac:dyDescent="0.2">
      <c r="A22" s="217" t="s">
        <v>106</v>
      </c>
      <c r="B22" s="217"/>
      <c r="C22" s="217"/>
      <c r="D22" s="217"/>
      <c r="E22" s="217"/>
      <c r="F22" s="217"/>
      <c r="G22" s="11">
        <v>15</v>
      </c>
      <c r="H22" s="53">
        <v>1905663</v>
      </c>
      <c r="I22" s="53">
        <f>+H22-1236222</f>
        <v>669441</v>
      </c>
      <c r="J22" s="53">
        <v>2235749</v>
      </c>
      <c r="K22" s="53">
        <f>+J22-1453633</f>
        <v>782116</v>
      </c>
    </row>
    <row r="23" spans="1:11" ht="12.75" customHeight="1" x14ac:dyDescent="0.2">
      <c r="A23" s="217" t="s">
        <v>107</v>
      </c>
      <c r="B23" s="217"/>
      <c r="C23" s="217"/>
      <c r="D23" s="217"/>
      <c r="E23" s="217"/>
      <c r="F23" s="217"/>
      <c r="G23" s="11">
        <v>16</v>
      </c>
      <c r="H23" s="53">
        <v>1091106</v>
      </c>
      <c r="I23" s="53">
        <f>+H23-717599</f>
        <v>373507</v>
      </c>
      <c r="J23" s="53">
        <v>1262178</v>
      </c>
      <c r="K23" s="53">
        <f>+J23-827151</f>
        <v>435027</v>
      </c>
    </row>
    <row r="24" spans="1:11" ht="12.75" customHeight="1" x14ac:dyDescent="0.2">
      <c r="A24" s="182" t="s">
        <v>108</v>
      </c>
      <c r="B24" s="182"/>
      <c r="C24" s="182"/>
      <c r="D24" s="182"/>
      <c r="E24" s="182"/>
      <c r="F24" s="182"/>
      <c r="G24" s="11">
        <v>17</v>
      </c>
      <c r="H24" s="53">
        <v>4940543</v>
      </c>
      <c r="I24" s="53">
        <f>+H24-3334205</f>
        <v>1606338</v>
      </c>
      <c r="J24" s="53">
        <v>4519649</v>
      </c>
      <c r="K24" s="53">
        <f>+J24-3031386</f>
        <v>1488263</v>
      </c>
    </row>
    <row r="25" spans="1:11" ht="12.75" customHeight="1" x14ac:dyDescent="0.2">
      <c r="A25" s="182" t="s">
        <v>109</v>
      </c>
      <c r="B25" s="182"/>
      <c r="C25" s="182"/>
      <c r="D25" s="182"/>
      <c r="E25" s="182"/>
      <c r="F25" s="182"/>
      <c r="G25" s="11">
        <v>18</v>
      </c>
      <c r="H25" s="53">
        <v>1021249</v>
      </c>
      <c r="I25" s="53">
        <f>+H25-671803</f>
        <v>349446</v>
      </c>
      <c r="J25" s="53">
        <v>992249</v>
      </c>
      <c r="K25" s="53">
        <f>+J25-635237</f>
        <v>357012</v>
      </c>
    </row>
    <row r="26" spans="1:11" ht="12.75" customHeight="1" x14ac:dyDescent="0.2">
      <c r="A26" s="183" t="s">
        <v>442</v>
      </c>
      <c r="B26" s="183"/>
      <c r="C26" s="183"/>
      <c r="D26" s="183"/>
      <c r="E26" s="183"/>
      <c r="F26" s="183"/>
      <c r="G26" s="12">
        <v>19</v>
      </c>
      <c r="H26" s="52">
        <f>H27+H28</f>
        <v>0</v>
      </c>
      <c r="I26" s="52">
        <f>I27+I28</f>
        <v>0</v>
      </c>
      <c r="J26" s="52">
        <f>J27+J28</f>
        <v>50000</v>
      </c>
      <c r="K26" s="52">
        <f>K27+K28</f>
        <v>0</v>
      </c>
    </row>
    <row r="27" spans="1:11" ht="12.75" customHeight="1" x14ac:dyDescent="0.2">
      <c r="A27" s="217" t="s">
        <v>123</v>
      </c>
      <c r="B27" s="217"/>
      <c r="C27" s="217"/>
      <c r="D27" s="217"/>
      <c r="E27" s="217"/>
      <c r="F27" s="217"/>
      <c r="G27" s="11">
        <v>20</v>
      </c>
      <c r="H27" s="53">
        <v>0</v>
      </c>
      <c r="I27" s="53">
        <f t="shared" si="2"/>
        <v>0</v>
      </c>
      <c r="J27" s="53">
        <v>0</v>
      </c>
      <c r="K27" s="53">
        <f t="shared" si="3"/>
        <v>0</v>
      </c>
    </row>
    <row r="28" spans="1:11" ht="12.75" customHeight="1" x14ac:dyDescent="0.2">
      <c r="A28" s="217" t="s">
        <v>124</v>
      </c>
      <c r="B28" s="217"/>
      <c r="C28" s="217"/>
      <c r="D28" s="217"/>
      <c r="E28" s="217"/>
      <c r="F28" s="217"/>
      <c r="G28" s="11">
        <v>21</v>
      </c>
      <c r="H28" s="53">
        <v>0</v>
      </c>
      <c r="I28" s="53">
        <f t="shared" si="2"/>
        <v>0</v>
      </c>
      <c r="J28" s="53">
        <v>50000</v>
      </c>
      <c r="K28" s="53">
        <f>+J28-50000</f>
        <v>0</v>
      </c>
    </row>
    <row r="29" spans="1:11" ht="12.75" customHeight="1" x14ac:dyDescent="0.2">
      <c r="A29" s="183" t="s">
        <v>443</v>
      </c>
      <c r="B29" s="183"/>
      <c r="C29" s="183"/>
      <c r="D29" s="183"/>
      <c r="E29" s="183"/>
      <c r="F29" s="183"/>
      <c r="G29" s="12">
        <v>22</v>
      </c>
      <c r="H29" s="52">
        <f>SUM(H30:H35)</f>
        <v>8728</v>
      </c>
      <c r="I29" s="52">
        <f>SUM(I30:I35)</f>
        <v>0</v>
      </c>
      <c r="J29" s="52">
        <f>SUM(J30:J35)</f>
        <v>0</v>
      </c>
      <c r="K29" s="52">
        <f>SUM(K30:K35)</f>
        <v>0</v>
      </c>
    </row>
    <row r="30" spans="1:11" ht="12.75" customHeight="1" x14ac:dyDescent="0.2">
      <c r="A30" s="217" t="s">
        <v>125</v>
      </c>
      <c r="B30" s="217"/>
      <c r="C30" s="217"/>
      <c r="D30" s="217"/>
      <c r="E30" s="217"/>
      <c r="F30" s="217"/>
      <c r="G30" s="11">
        <v>23</v>
      </c>
      <c r="H30" s="53">
        <v>0</v>
      </c>
      <c r="I30" s="53">
        <f t="shared" ref="I30:I31" si="6">+H30-0</f>
        <v>0</v>
      </c>
      <c r="J30" s="53">
        <v>0</v>
      </c>
      <c r="K30" s="53">
        <f>+J30</f>
        <v>0</v>
      </c>
    </row>
    <row r="31" spans="1:11" ht="12.75" customHeight="1" x14ac:dyDescent="0.2">
      <c r="A31" s="217" t="s">
        <v>126</v>
      </c>
      <c r="B31" s="217"/>
      <c r="C31" s="217"/>
      <c r="D31" s="217"/>
      <c r="E31" s="217"/>
      <c r="F31" s="217"/>
      <c r="G31" s="11">
        <v>24</v>
      </c>
      <c r="H31" s="53">
        <v>0</v>
      </c>
      <c r="I31" s="53">
        <f t="shared" si="6"/>
        <v>0</v>
      </c>
      <c r="J31" s="53">
        <v>0</v>
      </c>
      <c r="K31" s="53">
        <f t="shared" ref="K31:K35" si="7">+J31</f>
        <v>0</v>
      </c>
    </row>
    <row r="32" spans="1:11" ht="12.75" customHeight="1" x14ac:dyDescent="0.2">
      <c r="A32" s="217" t="s">
        <v>127</v>
      </c>
      <c r="B32" s="217"/>
      <c r="C32" s="217"/>
      <c r="D32" s="217"/>
      <c r="E32" s="217"/>
      <c r="F32" s="217"/>
      <c r="G32" s="11">
        <v>25</v>
      </c>
      <c r="H32" s="53">
        <v>8728</v>
      </c>
      <c r="I32" s="53">
        <f>+H32-8728</f>
        <v>0</v>
      </c>
      <c r="J32" s="53">
        <v>0</v>
      </c>
      <c r="K32" s="53">
        <f t="shared" si="7"/>
        <v>0</v>
      </c>
    </row>
    <row r="33" spans="1:11" ht="12.75" customHeight="1" x14ac:dyDescent="0.2">
      <c r="A33" s="217" t="s">
        <v>128</v>
      </c>
      <c r="B33" s="217"/>
      <c r="C33" s="217"/>
      <c r="D33" s="217"/>
      <c r="E33" s="217"/>
      <c r="F33" s="217"/>
      <c r="G33" s="11">
        <v>26</v>
      </c>
      <c r="H33" s="53">
        <v>0</v>
      </c>
      <c r="I33" s="53">
        <f t="shared" ref="I33:I35" si="8">+H33</f>
        <v>0</v>
      </c>
      <c r="J33" s="53">
        <v>0</v>
      </c>
      <c r="K33" s="53">
        <f t="shared" si="7"/>
        <v>0</v>
      </c>
    </row>
    <row r="34" spans="1:11" ht="12.75" customHeight="1" x14ac:dyDescent="0.2">
      <c r="A34" s="217" t="s">
        <v>129</v>
      </c>
      <c r="B34" s="217"/>
      <c r="C34" s="217"/>
      <c r="D34" s="217"/>
      <c r="E34" s="217"/>
      <c r="F34" s="217"/>
      <c r="G34" s="11">
        <v>27</v>
      </c>
      <c r="H34" s="53">
        <v>0</v>
      </c>
      <c r="I34" s="53">
        <f t="shared" si="8"/>
        <v>0</v>
      </c>
      <c r="J34" s="53">
        <v>0</v>
      </c>
      <c r="K34" s="53">
        <f t="shared" si="7"/>
        <v>0</v>
      </c>
    </row>
    <row r="35" spans="1:11" ht="12.75" customHeight="1" x14ac:dyDescent="0.2">
      <c r="A35" s="217" t="s">
        <v>130</v>
      </c>
      <c r="B35" s="217"/>
      <c r="C35" s="217"/>
      <c r="D35" s="217"/>
      <c r="E35" s="217"/>
      <c r="F35" s="217"/>
      <c r="G35" s="11">
        <v>28</v>
      </c>
      <c r="H35" s="53">
        <v>0</v>
      </c>
      <c r="I35" s="53">
        <f t="shared" si="8"/>
        <v>0</v>
      </c>
      <c r="J35" s="53">
        <v>0</v>
      </c>
      <c r="K35" s="53">
        <f t="shared" si="7"/>
        <v>0</v>
      </c>
    </row>
    <row r="36" spans="1:11" ht="12.75" customHeight="1" x14ac:dyDescent="0.2">
      <c r="A36" s="182" t="s">
        <v>110</v>
      </c>
      <c r="B36" s="182"/>
      <c r="C36" s="182"/>
      <c r="D36" s="182"/>
      <c r="E36" s="182"/>
      <c r="F36" s="182"/>
      <c r="G36" s="11">
        <v>29</v>
      </c>
      <c r="H36" s="53">
        <v>58232</v>
      </c>
      <c r="I36" s="53">
        <f>+H36-50007</f>
        <v>8225</v>
      </c>
      <c r="J36" s="53">
        <v>214134</v>
      </c>
      <c r="K36" s="53">
        <f>+J36-210639</f>
        <v>3495</v>
      </c>
    </row>
    <row r="37" spans="1:11" ht="12.75" customHeight="1" x14ac:dyDescent="0.2">
      <c r="A37" s="216" t="s">
        <v>361</v>
      </c>
      <c r="B37" s="216"/>
      <c r="C37" s="216"/>
      <c r="D37" s="216"/>
      <c r="E37" s="216"/>
      <c r="F37" s="216"/>
      <c r="G37" s="12">
        <v>30</v>
      </c>
      <c r="H37" s="52">
        <f>SUM(H38:H47)</f>
        <v>206067</v>
      </c>
      <c r="I37" s="52">
        <f>SUM(I38:I47)</f>
        <v>201056</v>
      </c>
      <c r="J37" s="52">
        <f>SUM(J38:J47)</f>
        <v>136325</v>
      </c>
      <c r="K37" s="52">
        <f>SUM(K38:K47)</f>
        <v>-358443</v>
      </c>
    </row>
    <row r="38" spans="1:11" ht="12.75" customHeight="1" x14ac:dyDescent="0.2">
      <c r="A38" s="182" t="s">
        <v>131</v>
      </c>
      <c r="B38" s="182"/>
      <c r="C38" s="182"/>
      <c r="D38" s="182"/>
      <c r="E38" s="182"/>
      <c r="F38" s="182"/>
      <c r="G38" s="11">
        <v>31</v>
      </c>
      <c r="H38" s="53">
        <v>0</v>
      </c>
      <c r="I38" s="53">
        <f t="shared" ref="I38:I42" si="9">+H38-0</f>
        <v>0</v>
      </c>
      <c r="J38" s="53">
        <v>0</v>
      </c>
      <c r="K38" s="53">
        <f>+J38</f>
        <v>0</v>
      </c>
    </row>
    <row r="39" spans="1:11" ht="25.15" customHeight="1" x14ac:dyDescent="0.2">
      <c r="A39" s="182" t="s">
        <v>132</v>
      </c>
      <c r="B39" s="182"/>
      <c r="C39" s="182"/>
      <c r="D39" s="182"/>
      <c r="E39" s="182"/>
      <c r="F39" s="182"/>
      <c r="G39" s="11">
        <v>32</v>
      </c>
      <c r="H39" s="53">
        <v>0</v>
      </c>
      <c r="I39" s="53">
        <f t="shared" si="9"/>
        <v>0</v>
      </c>
      <c r="J39" s="53">
        <v>0</v>
      </c>
      <c r="K39" s="53">
        <f t="shared" ref="K39:K46" si="10">+J39</f>
        <v>0</v>
      </c>
    </row>
    <row r="40" spans="1:11" ht="25.15" customHeight="1" x14ac:dyDescent="0.2">
      <c r="A40" s="182" t="s">
        <v>133</v>
      </c>
      <c r="B40" s="182"/>
      <c r="C40" s="182"/>
      <c r="D40" s="182"/>
      <c r="E40" s="182"/>
      <c r="F40" s="182"/>
      <c r="G40" s="11">
        <v>33</v>
      </c>
      <c r="H40" s="53">
        <v>0</v>
      </c>
      <c r="I40" s="53">
        <f t="shared" si="9"/>
        <v>0</v>
      </c>
      <c r="J40" s="53">
        <v>0</v>
      </c>
      <c r="K40" s="53">
        <f t="shared" si="10"/>
        <v>0</v>
      </c>
    </row>
    <row r="41" spans="1:11" ht="25.15" customHeight="1" x14ac:dyDescent="0.2">
      <c r="A41" s="182" t="s">
        <v>134</v>
      </c>
      <c r="B41" s="182"/>
      <c r="C41" s="182"/>
      <c r="D41" s="182"/>
      <c r="E41" s="182"/>
      <c r="F41" s="182"/>
      <c r="G41" s="11">
        <v>34</v>
      </c>
      <c r="H41" s="53">
        <v>0</v>
      </c>
      <c r="I41" s="53">
        <f t="shared" si="9"/>
        <v>0</v>
      </c>
      <c r="J41" s="53">
        <v>0</v>
      </c>
      <c r="K41" s="53">
        <f t="shared" si="10"/>
        <v>0</v>
      </c>
    </row>
    <row r="42" spans="1:11" ht="25.15" customHeight="1" x14ac:dyDescent="0.2">
      <c r="A42" s="182" t="s">
        <v>135</v>
      </c>
      <c r="B42" s="182"/>
      <c r="C42" s="182"/>
      <c r="D42" s="182"/>
      <c r="E42" s="182"/>
      <c r="F42" s="182"/>
      <c r="G42" s="11">
        <v>35</v>
      </c>
      <c r="H42" s="53">
        <v>0</v>
      </c>
      <c r="I42" s="53">
        <f t="shared" si="9"/>
        <v>0</v>
      </c>
      <c r="J42" s="53">
        <v>0</v>
      </c>
      <c r="K42" s="53">
        <f t="shared" si="10"/>
        <v>0</v>
      </c>
    </row>
    <row r="43" spans="1:11" ht="12.75" customHeight="1" x14ac:dyDescent="0.2">
      <c r="A43" s="182" t="s">
        <v>136</v>
      </c>
      <c r="B43" s="182"/>
      <c r="C43" s="182"/>
      <c r="D43" s="182"/>
      <c r="E43" s="182"/>
      <c r="F43" s="182"/>
      <c r="G43" s="11">
        <v>36</v>
      </c>
      <c r="H43" s="53">
        <v>0</v>
      </c>
      <c r="I43" s="53">
        <f>+H43-0</f>
        <v>0</v>
      </c>
      <c r="J43" s="53">
        <v>0</v>
      </c>
      <c r="K43" s="53">
        <f t="shared" si="10"/>
        <v>0</v>
      </c>
    </row>
    <row r="44" spans="1:11" ht="12.75" customHeight="1" x14ac:dyDescent="0.2">
      <c r="A44" s="182" t="s">
        <v>137</v>
      </c>
      <c r="B44" s="182"/>
      <c r="C44" s="182"/>
      <c r="D44" s="182"/>
      <c r="E44" s="182"/>
      <c r="F44" s="182"/>
      <c r="G44" s="11">
        <v>37</v>
      </c>
      <c r="H44" s="53">
        <v>21638</v>
      </c>
      <c r="I44" s="53">
        <f>+H44-4267</f>
        <v>17371</v>
      </c>
      <c r="J44" s="53">
        <v>99887</v>
      </c>
      <c r="K44" s="53">
        <f>+J44-79047</f>
        <v>20840</v>
      </c>
    </row>
    <row r="45" spans="1:11" ht="12.75" customHeight="1" x14ac:dyDescent="0.2">
      <c r="A45" s="182" t="s">
        <v>138</v>
      </c>
      <c r="B45" s="182"/>
      <c r="C45" s="182"/>
      <c r="D45" s="182"/>
      <c r="E45" s="182"/>
      <c r="F45" s="182"/>
      <c r="G45" s="11">
        <v>38</v>
      </c>
      <c r="H45" s="53">
        <v>183685</v>
      </c>
      <c r="I45" s="53">
        <f t="shared" ref="I45:I46" si="11">+H45-0</f>
        <v>183685</v>
      </c>
      <c r="J45" s="53">
        <v>35620</v>
      </c>
      <c r="K45" s="53">
        <f>+J45-414903</f>
        <v>-379283</v>
      </c>
    </row>
    <row r="46" spans="1:11" ht="12.75" customHeight="1" x14ac:dyDescent="0.2">
      <c r="A46" s="182" t="s">
        <v>139</v>
      </c>
      <c r="B46" s="182"/>
      <c r="C46" s="182"/>
      <c r="D46" s="182"/>
      <c r="E46" s="182"/>
      <c r="F46" s="182"/>
      <c r="G46" s="11">
        <v>39</v>
      </c>
      <c r="H46" s="53">
        <v>0</v>
      </c>
      <c r="I46" s="53">
        <f t="shared" si="11"/>
        <v>0</v>
      </c>
      <c r="J46" s="53">
        <v>0</v>
      </c>
      <c r="K46" s="53">
        <f t="shared" si="10"/>
        <v>0</v>
      </c>
    </row>
    <row r="47" spans="1:11" ht="12.75" customHeight="1" x14ac:dyDescent="0.2">
      <c r="A47" s="182" t="s">
        <v>140</v>
      </c>
      <c r="B47" s="182"/>
      <c r="C47" s="182"/>
      <c r="D47" s="182"/>
      <c r="E47" s="182"/>
      <c r="F47" s="182"/>
      <c r="G47" s="11">
        <v>40</v>
      </c>
      <c r="H47" s="53">
        <v>744</v>
      </c>
      <c r="I47" s="53">
        <f>+H47-744</f>
        <v>0</v>
      </c>
      <c r="J47" s="53">
        <v>818</v>
      </c>
      <c r="K47" s="53">
        <f>+J47-818</f>
        <v>0</v>
      </c>
    </row>
    <row r="48" spans="1:11" ht="12.75" customHeight="1" x14ac:dyDescent="0.2">
      <c r="A48" s="216" t="s">
        <v>362</v>
      </c>
      <c r="B48" s="216"/>
      <c r="C48" s="216"/>
      <c r="D48" s="216"/>
      <c r="E48" s="216"/>
      <c r="F48" s="216"/>
      <c r="G48" s="12">
        <v>41</v>
      </c>
      <c r="H48" s="52">
        <f>SUM(H49:H55)</f>
        <v>39379</v>
      </c>
      <c r="I48" s="52">
        <f>SUM(I49:I55)</f>
        <v>-77499</v>
      </c>
      <c r="J48" s="52">
        <f>SUM(J49:J55)</f>
        <v>21896</v>
      </c>
      <c r="K48" s="52">
        <f>SUM(K49:K55)</f>
        <v>7100</v>
      </c>
    </row>
    <row r="49" spans="1:11" ht="25.15" customHeight="1" x14ac:dyDescent="0.2">
      <c r="A49" s="182" t="s">
        <v>141</v>
      </c>
      <c r="B49" s="182"/>
      <c r="C49" s="182"/>
      <c r="D49" s="182"/>
      <c r="E49" s="182"/>
      <c r="F49" s="182"/>
      <c r="G49" s="11">
        <v>42</v>
      </c>
      <c r="H49" s="53">
        <v>0</v>
      </c>
      <c r="I49" s="53">
        <f>+H49-0</f>
        <v>0</v>
      </c>
      <c r="J49" s="53">
        <v>0</v>
      </c>
      <c r="K49" s="53">
        <f>+J49</f>
        <v>0</v>
      </c>
    </row>
    <row r="50" spans="1:11" ht="12.75" customHeight="1" x14ac:dyDescent="0.2">
      <c r="A50" s="220" t="s">
        <v>142</v>
      </c>
      <c r="B50" s="220"/>
      <c r="C50" s="220"/>
      <c r="D50" s="220"/>
      <c r="E50" s="220"/>
      <c r="F50" s="220"/>
      <c r="G50" s="11">
        <v>43</v>
      </c>
      <c r="H50" s="53">
        <v>0</v>
      </c>
      <c r="I50" s="53">
        <f t="shared" ref="I50:I59" si="12">+H50-0</f>
        <v>0</v>
      </c>
      <c r="J50" s="53">
        <v>0</v>
      </c>
      <c r="K50" s="53">
        <f t="shared" ref="K50:K59" si="13">+J50</f>
        <v>0</v>
      </c>
    </row>
    <row r="51" spans="1:11" ht="12.75" customHeight="1" x14ac:dyDescent="0.2">
      <c r="A51" s="220" t="s">
        <v>143</v>
      </c>
      <c r="B51" s="220"/>
      <c r="C51" s="220"/>
      <c r="D51" s="220"/>
      <c r="E51" s="220"/>
      <c r="F51" s="220"/>
      <c r="G51" s="11">
        <v>44</v>
      </c>
      <c r="H51" s="53">
        <v>39379</v>
      </c>
      <c r="I51" s="53">
        <f>+H51-29436</f>
        <v>9943</v>
      </c>
      <c r="J51" s="53">
        <v>21896</v>
      </c>
      <c r="K51" s="53">
        <f>+J51-14796</f>
        <v>7100</v>
      </c>
    </row>
    <row r="52" spans="1:11" ht="12.75" customHeight="1" x14ac:dyDescent="0.2">
      <c r="A52" s="220" t="s">
        <v>144</v>
      </c>
      <c r="B52" s="220"/>
      <c r="C52" s="220"/>
      <c r="D52" s="220"/>
      <c r="E52" s="220"/>
      <c r="F52" s="220"/>
      <c r="G52" s="11">
        <v>45</v>
      </c>
      <c r="H52" s="53">
        <v>0</v>
      </c>
      <c r="I52" s="53">
        <f>+H52-87442</f>
        <v>-87442</v>
      </c>
      <c r="J52" s="53">
        <v>0</v>
      </c>
      <c r="K52" s="53">
        <f t="shared" si="13"/>
        <v>0</v>
      </c>
    </row>
    <row r="53" spans="1:11" ht="12.75" customHeight="1" x14ac:dyDescent="0.2">
      <c r="A53" s="220" t="s">
        <v>145</v>
      </c>
      <c r="B53" s="220"/>
      <c r="C53" s="220"/>
      <c r="D53" s="220"/>
      <c r="E53" s="220"/>
      <c r="F53" s="220"/>
      <c r="G53" s="11">
        <v>46</v>
      </c>
      <c r="H53" s="53">
        <v>0</v>
      </c>
      <c r="I53" s="53">
        <f t="shared" si="12"/>
        <v>0</v>
      </c>
      <c r="J53" s="53">
        <v>0</v>
      </c>
      <c r="K53" s="53">
        <f t="shared" si="13"/>
        <v>0</v>
      </c>
    </row>
    <row r="54" spans="1:11" ht="12.75" customHeight="1" x14ac:dyDescent="0.2">
      <c r="A54" s="220" t="s">
        <v>146</v>
      </c>
      <c r="B54" s="220"/>
      <c r="C54" s="220"/>
      <c r="D54" s="220"/>
      <c r="E54" s="220"/>
      <c r="F54" s="220"/>
      <c r="G54" s="11">
        <v>47</v>
      </c>
      <c r="H54" s="53">
        <v>0</v>
      </c>
      <c r="I54" s="53">
        <f t="shared" si="12"/>
        <v>0</v>
      </c>
      <c r="J54" s="53">
        <v>0</v>
      </c>
      <c r="K54" s="53">
        <f t="shared" si="13"/>
        <v>0</v>
      </c>
    </row>
    <row r="55" spans="1:11" ht="12.75" customHeight="1" x14ac:dyDescent="0.2">
      <c r="A55" s="220" t="s">
        <v>147</v>
      </c>
      <c r="B55" s="220"/>
      <c r="C55" s="220"/>
      <c r="D55" s="220"/>
      <c r="E55" s="220"/>
      <c r="F55" s="220"/>
      <c r="G55" s="11">
        <v>48</v>
      </c>
      <c r="H55" s="53">
        <v>0</v>
      </c>
      <c r="I55" s="53">
        <f t="shared" si="12"/>
        <v>0</v>
      </c>
      <c r="J55" s="53">
        <v>0</v>
      </c>
      <c r="K55" s="53">
        <f t="shared" si="13"/>
        <v>0</v>
      </c>
    </row>
    <row r="56" spans="1:11" ht="22.15" customHeight="1" x14ac:dyDescent="0.2">
      <c r="A56" s="222" t="s">
        <v>148</v>
      </c>
      <c r="B56" s="222"/>
      <c r="C56" s="222"/>
      <c r="D56" s="222"/>
      <c r="E56" s="222"/>
      <c r="F56" s="222"/>
      <c r="G56" s="11">
        <v>49</v>
      </c>
      <c r="H56" s="53">
        <v>0</v>
      </c>
      <c r="I56" s="53">
        <f t="shared" si="12"/>
        <v>0</v>
      </c>
      <c r="J56" s="53">
        <v>0</v>
      </c>
      <c r="K56" s="53">
        <f t="shared" si="13"/>
        <v>0</v>
      </c>
    </row>
    <row r="57" spans="1:11" ht="12.75" customHeight="1" x14ac:dyDescent="0.2">
      <c r="A57" s="222" t="s">
        <v>149</v>
      </c>
      <c r="B57" s="222"/>
      <c r="C57" s="222"/>
      <c r="D57" s="222"/>
      <c r="E57" s="222"/>
      <c r="F57" s="222"/>
      <c r="G57" s="11">
        <v>50</v>
      </c>
      <c r="H57" s="53">
        <v>0</v>
      </c>
      <c r="I57" s="53">
        <f t="shared" si="12"/>
        <v>0</v>
      </c>
      <c r="J57" s="53">
        <v>0</v>
      </c>
      <c r="K57" s="53">
        <f t="shared" si="13"/>
        <v>0</v>
      </c>
    </row>
    <row r="58" spans="1:11" ht="24.6" customHeight="1" x14ac:dyDescent="0.2">
      <c r="A58" s="222" t="s">
        <v>150</v>
      </c>
      <c r="B58" s="222"/>
      <c r="C58" s="222"/>
      <c r="D58" s="222"/>
      <c r="E58" s="222"/>
      <c r="F58" s="222"/>
      <c r="G58" s="11">
        <v>51</v>
      </c>
      <c r="H58" s="53">
        <v>0</v>
      </c>
      <c r="I58" s="53">
        <f t="shared" si="12"/>
        <v>0</v>
      </c>
      <c r="J58" s="53">
        <v>0</v>
      </c>
      <c r="K58" s="53">
        <f t="shared" si="13"/>
        <v>0</v>
      </c>
    </row>
    <row r="59" spans="1:11" ht="12.75" customHeight="1" x14ac:dyDescent="0.2">
      <c r="A59" s="222" t="s">
        <v>151</v>
      </c>
      <c r="B59" s="222"/>
      <c r="C59" s="222"/>
      <c r="D59" s="222"/>
      <c r="E59" s="222"/>
      <c r="F59" s="222"/>
      <c r="G59" s="11">
        <v>52</v>
      </c>
      <c r="H59" s="53">
        <v>0</v>
      </c>
      <c r="I59" s="53">
        <f t="shared" si="12"/>
        <v>0</v>
      </c>
      <c r="J59" s="53">
        <v>0</v>
      </c>
      <c r="K59" s="53">
        <f t="shared" si="13"/>
        <v>0</v>
      </c>
    </row>
    <row r="60" spans="1:11" ht="12.75" customHeight="1" x14ac:dyDescent="0.2">
      <c r="A60" s="216" t="s">
        <v>363</v>
      </c>
      <c r="B60" s="216"/>
      <c r="C60" s="216"/>
      <c r="D60" s="216"/>
      <c r="E60" s="216"/>
      <c r="F60" s="216"/>
      <c r="G60" s="12">
        <v>53</v>
      </c>
      <c r="H60" s="52">
        <f>H8+H37+H56+H57</f>
        <v>66157128</v>
      </c>
      <c r="I60" s="52">
        <f t="shared" ref="I60:K60" si="14">I8+I37+I56+I57</f>
        <v>23731679</v>
      </c>
      <c r="J60" s="52">
        <f t="shared" si="14"/>
        <v>73898540</v>
      </c>
      <c r="K60" s="52">
        <f t="shared" si="14"/>
        <v>20118251</v>
      </c>
    </row>
    <row r="61" spans="1:11" ht="12.75" customHeight="1" x14ac:dyDescent="0.2">
      <c r="A61" s="216" t="s">
        <v>364</v>
      </c>
      <c r="B61" s="216"/>
      <c r="C61" s="216"/>
      <c r="D61" s="216"/>
      <c r="E61" s="216"/>
      <c r="F61" s="216"/>
      <c r="G61" s="12">
        <v>54</v>
      </c>
      <c r="H61" s="52">
        <f>H14+H48+H58+H59</f>
        <v>59262124</v>
      </c>
      <c r="I61" s="52">
        <f t="shared" ref="I61:K61" si="15">I14+I48+I58+I59</f>
        <v>20973876</v>
      </c>
      <c r="J61" s="52">
        <f t="shared" si="15"/>
        <v>66382286</v>
      </c>
      <c r="K61" s="52">
        <f t="shared" si="15"/>
        <v>18989599</v>
      </c>
    </row>
    <row r="62" spans="1:11" ht="12.75" customHeight="1" x14ac:dyDescent="0.2">
      <c r="A62" s="216" t="s">
        <v>365</v>
      </c>
      <c r="B62" s="216"/>
      <c r="C62" s="216"/>
      <c r="D62" s="216"/>
      <c r="E62" s="216"/>
      <c r="F62" s="216"/>
      <c r="G62" s="12">
        <v>55</v>
      </c>
      <c r="H62" s="52">
        <f>H60-H61</f>
        <v>6895004</v>
      </c>
      <c r="I62" s="52">
        <f t="shared" ref="I62:K62" si="16">I60-I61</f>
        <v>2757803</v>
      </c>
      <c r="J62" s="52">
        <f t="shared" si="16"/>
        <v>7516254</v>
      </c>
      <c r="K62" s="52">
        <f t="shared" si="16"/>
        <v>1128652</v>
      </c>
    </row>
    <row r="63" spans="1:11" ht="12.75" customHeight="1" x14ac:dyDescent="0.2">
      <c r="A63" s="221" t="s">
        <v>366</v>
      </c>
      <c r="B63" s="221"/>
      <c r="C63" s="221"/>
      <c r="D63" s="221"/>
      <c r="E63" s="221"/>
      <c r="F63" s="221"/>
      <c r="G63" s="12">
        <v>56</v>
      </c>
      <c r="H63" s="52">
        <f>+IF((H60-H61)&gt;0,(H60-H61),0)</f>
        <v>6895004</v>
      </c>
      <c r="I63" s="52">
        <f t="shared" ref="I63:K63" si="17">+IF((I60-I61)&gt;0,(I60-I61),0)</f>
        <v>2757803</v>
      </c>
      <c r="J63" s="52">
        <f t="shared" si="17"/>
        <v>7516254</v>
      </c>
      <c r="K63" s="52">
        <f t="shared" si="17"/>
        <v>1128652</v>
      </c>
    </row>
    <row r="64" spans="1:11" ht="12.75" customHeight="1" x14ac:dyDescent="0.2">
      <c r="A64" s="221" t="s">
        <v>367</v>
      </c>
      <c r="B64" s="221"/>
      <c r="C64" s="221"/>
      <c r="D64" s="221"/>
      <c r="E64" s="221"/>
      <c r="F64" s="221"/>
      <c r="G64" s="12">
        <v>57</v>
      </c>
      <c r="H64" s="52">
        <f>+IF((H60-H61)&lt;0,(H60-H61),0)</f>
        <v>0</v>
      </c>
      <c r="I64" s="52">
        <f t="shared" ref="I64:K64" si="18">+IF((I60-I61)&lt;0,(I60-I61),0)</f>
        <v>0</v>
      </c>
      <c r="J64" s="52">
        <f t="shared" si="18"/>
        <v>0</v>
      </c>
      <c r="K64" s="52">
        <f t="shared" si="18"/>
        <v>0</v>
      </c>
    </row>
    <row r="65" spans="1:11" ht="12.75" customHeight="1" x14ac:dyDescent="0.2">
      <c r="A65" s="222" t="s">
        <v>111</v>
      </c>
      <c r="B65" s="222"/>
      <c r="C65" s="222"/>
      <c r="D65" s="222"/>
      <c r="E65" s="222"/>
      <c r="F65" s="222"/>
      <c r="G65" s="11">
        <v>58</v>
      </c>
      <c r="H65" s="53">
        <v>1248105</v>
      </c>
      <c r="I65" s="53">
        <f>+H65-752662</f>
        <v>495443</v>
      </c>
      <c r="J65" s="53">
        <v>1352926</v>
      </c>
      <c r="K65" s="53">
        <f>+J65-1162818</f>
        <v>190108</v>
      </c>
    </row>
    <row r="66" spans="1:11" ht="12.75" customHeight="1" x14ac:dyDescent="0.2">
      <c r="A66" s="216" t="s">
        <v>368</v>
      </c>
      <c r="B66" s="216"/>
      <c r="C66" s="216"/>
      <c r="D66" s="216"/>
      <c r="E66" s="216"/>
      <c r="F66" s="216"/>
      <c r="G66" s="12">
        <v>59</v>
      </c>
      <c r="H66" s="52">
        <f>H62-H65</f>
        <v>5646899</v>
      </c>
      <c r="I66" s="52">
        <f t="shared" ref="I66:K66" si="19">I62-I65</f>
        <v>2262360</v>
      </c>
      <c r="J66" s="52">
        <f t="shared" si="19"/>
        <v>6163328</v>
      </c>
      <c r="K66" s="52">
        <f t="shared" si="19"/>
        <v>938544</v>
      </c>
    </row>
    <row r="67" spans="1:11" ht="12.75" customHeight="1" x14ac:dyDescent="0.2">
      <c r="A67" s="221" t="s">
        <v>369</v>
      </c>
      <c r="B67" s="221"/>
      <c r="C67" s="221"/>
      <c r="D67" s="221"/>
      <c r="E67" s="221"/>
      <c r="F67" s="221"/>
      <c r="G67" s="12">
        <v>60</v>
      </c>
      <c r="H67" s="52">
        <f>+IF((H62-H65)&gt;0,(H62-H65),0)</f>
        <v>5646899</v>
      </c>
      <c r="I67" s="52">
        <f t="shared" ref="I67:K67" si="20">+IF((I62-I65)&gt;0,(I62-I65),0)</f>
        <v>2262360</v>
      </c>
      <c r="J67" s="52">
        <f t="shared" si="20"/>
        <v>6163328</v>
      </c>
      <c r="K67" s="52">
        <f t="shared" si="20"/>
        <v>938544</v>
      </c>
    </row>
    <row r="68" spans="1:11" ht="12.75" customHeight="1" x14ac:dyDescent="0.2">
      <c r="A68" s="221" t="s">
        <v>370</v>
      </c>
      <c r="B68" s="221"/>
      <c r="C68" s="221"/>
      <c r="D68" s="221"/>
      <c r="E68" s="221"/>
      <c r="F68" s="221"/>
      <c r="G68" s="12">
        <v>61</v>
      </c>
      <c r="H68" s="52">
        <f>+IF((H62-H65)&lt;0,(H62-H65),0)</f>
        <v>0</v>
      </c>
      <c r="I68" s="52">
        <f t="shared" ref="I68:K68" si="21">+IF((I62-I65)&lt;0,(I62-I65),0)</f>
        <v>0</v>
      </c>
      <c r="J68" s="52">
        <f t="shared" si="21"/>
        <v>0</v>
      </c>
      <c r="K68" s="52">
        <f t="shared" si="21"/>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f t="shared" ref="I71:I73" si="22">+H71-0</f>
        <v>0</v>
      </c>
      <c r="J71" s="53">
        <v>0</v>
      </c>
      <c r="K71" s="53">
        <f t="shared" ref="K71:K73" si="23">+J71-0</f>
        <v>0</v>
      </c>
    </row>
    <row r="72" spans="1:11" ht="12.75" customHeight="1" x14ac:dyDescent="0.2">
      <c r="A72" s="220" t="s">
        <v>154</v>
      </c>
      <c r="B72" s="220"/>
      <c r="C72" s="220"/>
      <c r="D72" s="220"/>
      <c r="E72" s="220"/>
      <c r="F72" s="220"/>
      <c r="G72" s="11">
        <v>64</v>
      </c>
      <c r="H72" s="53">
        <v>0</v>
      </c>
      <c r="I72" s="53">
        <f t="shared" si="22"/>
        <v>0</v>
      </c>
      <c r="J72" s="53">
        <v>0</v>
      </c>
      <c r="K72" s="53">
        <f t="shared" si="23"/>
        <v>0</v>
      </c>
    </row>
    <row r="73" spans="1:11" ht="12.75" customHeight="1" x14ac:dyDescent="0.2">
      <c r="A73" s="222" t="s">
        <v>155</v>
      </c>
      <c r="B73" s="222"/>
      <c r="C73" s="222"/>
      <c r="D73" s="222"/>
      <c r="E73" s="222"/>
      <c r="F73" s="222"/>
      <c r="G73" s="11">
        <v>65</v>
      </c>
      <c r="H73" s="53">
        <v>0</v>
      </c>
      <c r="I73" s="53">
        <f t="shared" si="22"/>
        <v>0</v>
      </c>
      <c r="J73" s="53">
        <v>0</v>
      </c>
      <c r="K73" s="53">
        <f t="shared" si="2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f t="shared" ref="I78:I79" si="24">+H78-0</f>
        <v>0</v>
      </c>
      <c r="J78" s="54">
        <v>0</v>
      </c>
      <c r="K78" s="54">
        <f t="shared" ref="K78:K79" si="25">+J78-0</f>
        <v>0</v>
      </c>
    </row>
    <row r="79" spans="1:11" ht="12.75" customHeight="1" x14ac:dyDescent="0.2">
      <c r="A79" s="226" t="s">
        <v>376</v>
      </c>
      <c r="B79" s="226"/>
      <c r="C79" s="226"/>
      <c r="D79" s="226"/>
      <c r="E79" s="226"/>
      <c r="F79" s="226"/>
      <c r="G79" s="46">
        <v>70</v>
      </c>
      <c r="H79" s="54">
        <v>0</v>
      </c>
      <c r="I79" s="54">
        <f t="shared" si="24"/>
        <v>0</v>
      </c>
      <c r="J79" s="54">
        <v>0</v>
      </c>
      <c r="K79" s="54">
        <f t="shared" si="25"/>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5646899</v>
      </c>
      <c r="I85" s="55">
        <f>I86+I87</f>
        <v>2262360</v>
      </c>
      <c r="J85" s="55">
        <f>J86+J87</f>
        <v>6163328</v>
      </c>
      <c r="K85" s="55">
        <f>K86+K87</f>
        <v>938544</v>
      </c>
    </row>
    <row r="86" spans="1:11" ht="12.75" customHeight="1" x14ac:dyDescent="0.2">
      <c r="A86" s="228" t="s">
        <v>157</v>
      </c>
      <c r="B86" s="228"/>
      <c r="C86" s="228"/>
      <c r="D86" s="228"/>
      <c r="E86" s="228"/>
      <c r="F86" s="228"/>
      <c r="G86" s="11">
        <v>76</v>
      </c>
      <c r="H86" s="56">
        <v>5656628</v>
      </c>
      <c r="I86" s="56">
        <f>+H86-3395603</f>
        <v>2261025</v>
      </c>
      <c r="J86" s="56">
        <f>+J67-J87</f>
        <v>6146983</v>
      </c>
      <c r="K86" s="56">
        <f>+J86-5242908</f>
        <v>904075</v>
      </c>
    </row>
    <row r="87" spans="1:11" ht="12.75" customHeight="1" x14ac:dyDescent="0.2">
      <c r="A87" s="228" t="s">
        <v>158</v>
      </c>
      <c r="B87" s="228"/>
      <c r="C87" s="228"/>
      <c r="D87" s="228"/>
      <c r="E87" s="228"/>
      <c r="F87" s="228"/>
      <c r="G87" s="11">
        <v>77</v>
      </c>
      <c r="H87" s="56">
        <v>-9729</v>
      </c>
      <c r="I87" s="56">
        <f>+H87+11064</f>
        <v>1335</v>
      </c>
      <c r="J87" s="56">
        <v>16345</v>
      </c>
      <c r="K87" s="56">
        <f>+J87+18124</f>
        <v>34469</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f>+H66</f>
        <v>5646899</v>
      </c>
      <c r="I89" s="56">
        <f>+I66</f>
        <v>2262360</v>
      </c>
      <c r="J89" s="56">
        <f>+J85</f>
        <v>6163328</v>
      </c>
      <c r="K89" s="56">
        <f>+J89-5224784</f>
        <v>938544</v>
      </c>
    </row>
    <row r="90" spans="1:11" ht="24" customHeight="1" x14ac:dyDescent="0.2">
      <c r="A90" s="184" t="s">
        <v>437</v>
      </c>
      <c r="B90" s="184"/>
      <c r="C90" s="184"/>
      <c r="D90" s="184"/>
      <c r="E90" s="184"/>
      <c r="F90" s="184"/>
      <c r="G90" s="12">
        <v>79</v>
      </c>
      <c r="H90" s="73">
        <f>H91+H98</f>
        <v>0</v>
      </c>
      <c r="I90" s="73">
        <f>I91+I98</f>
        <v>0</v>
      </c>
      <c r="J90" s="73">
        <f t="shared" ref="J90:K90" si="26">J91+J98</f>
        <v>0</v>
      </c>
      <c r="K90" s="73">
        <f t="shared" si="26"/>
        <v>0</v>
      </c>
    </row>
    <row r="91" spans="1:11" ht="24" customHeight="1" x14ac:dyDescent="0.2">
      <c r="A91" s="231" t="s">
        <v>444</v>
      </c>
      <c r="B91" s="231"/>
      <c r="C91" s="231"/>
      <c r="D91" s="231"/>
      <c r="E91" s="231"/>
      <c r="F91" s="231"/>
      <c r="G91" s="12">
        <v>80</v>
      </c>
      <c r="H91" s="73">
        <f>SUM(H92:H96)</f>
        <v>0</v>
      </c>
      <c r="I91" s="73">
        <f>SUM(I92:I96)</f>
        <v>0</v>
      </c>
      <c r="J91" s="73">
        <f t="shared" ref="J91:K91" si="27">SUM(J92:J96)</f>
        <v>0</v>
      </c>
      <c r="K91" s="73">
        <f t="shared" si="27"/>
        <v>0</v>
      </c>
    </row>
    <row r="92" spans="1:11" ht="25.5" customHeight="1" x14ac:dyDescent="0.2">
      <c r="A92" s="220" t="s">
        <v>382</v>
      </c>
      <c r="B92" s="220"/>
      <c r="C92" s="220"/>
      <c r="D92" s="220"/>
      <c r="E92" s="220"/>
      <c r="F92" s="220"/>
      <c r="G92" s="12">
        <v>81</v>
      </c>
      <c r="H92" s="56">
        <v>0</v>
      </c>
      <c r="I92" s="56">
        <f t="shared" ref="I92:I97" si="28">+H92-0</f>
        <v>0</v>
      </c>
      <c r="J92" s="56">
        <v>0</v>
      </c>
      <c r="K92" s="56">
        <f t="shared" ref="K92:K97" si="29">+J92-0</f>
        <v>0</v>
      </c>
    </row>
    <row r="93" spans="1:11" ht="38.25" customHeight="1" x14ac:dyDescent="0.2">
      <c r="A93" s="220" t="s">
        <v>383</v>
      </c>
      <c r="B93" s="220"/>
      <c r="C93" s="220"/>
      <c r="D93" s="220"/>
      <c r="E93" s="220"/>
      <c r="F93" s="220"/>
      <c r="G93" s="12">
        <v>82</v>
      </c>
      <c r="H93" s="56">
        <v>0</v>
      </c>
      <c r="I93" s="56">
        <f t="shared" si="28"/>
        <v>0</v>
      </c>
      <c r="J93" s="56">
        <v>0</v>
      </c>
      <c r="K93" s="56">
        <f t="shared" si="29"/>
        <v>0</v>
      </c>
    </row>
    <row r="94" spans="1:11" ht="38.25" customHeight="1" x14ac:dyDescent="0.2">
      <c r="A94" s="220" t="s">
        <v>384</v>
      </c>
      <c r="B94" s="220"/>
      <c r="C94" s="220"/>
      <c r="D94" s="220"/>
      <c r="E94" s="220"/>
      <c r="F94" s="220"/>
      <c r="G94" s="12">
        <v>83</v>
      </c>
      <c r="H94" s="56">
        <v>0</v>
      </c>
      <c r="I94" s="56">
        <f t="shared" si="28"/>
        <v>0</v>
      </c>
      <c r="J94" s="56">
        <v>0</v>
      </c>
      <c r="K94" s="56">
        <f t="shared" si="29"/>
        <v>0</v>
      </c>
    </row>
    <row r="95" spans="1:11" x14ac:dyDescent="0.2">
      <c r="A95" s="220" t="s">
        <v>385</v>
      </c>
      <c r="B95" s="220"/>
      <c r="C95" s="220"/>
      <c r="D95" s="220"/>
      <c r="E95" s="220"/>
      <c r="F95" s="220"/>
      <c r="G95" s="12">
        <v>84</v>
      </c>
      <c r="H95" s="56">
        <v>0</v>
      </c>
      <c r="I95" s="56">
        <f t="shared" si="28"/>
        <v>0</v>
      </c>
      <c r="J95" s="56">
        <v>0</v>
      </c>
      <c r="K95" s="56">
        <f t="shared" si="29"/>
        <v>0</v>
      </c>
    </row>
    <row r="96" spans="1:11" x14ac:dyDescent="0.2">
      <c r="A96" s="220" t="s">
        <v>386</v>
      </c>
      <c r="B96" s="220"/>
      <c r="C96" s="220"/>
      <c r="D96" s="220"/>
      <c r="E96" s="220"/>
      <c r="F96" s="220"/>
      <c r="G96" s="12">
        <v>85</v>
      </c>
      <c r="H96" s="56">
        <v>0</v>
      </c>
      <c r="I96" s="56">
        <f t="shared" si="28"/>
        <v>0</v>
      </c>
      <c r="J96" s="56">
        <v>0</v>
      </c>
      <c r="K96" s="56">
        <f t="shared" si="29"/>
        <v>0</v>
      </c>
    </row>
    <row r="97" spans="1:11" ht="26.25" customHeight="1" x14ac:dyDescent="0.2">
      <c r="A97" s="220" t="s">
        <v>387</v>
      </c>
      <c r="B97" s="220"/>
      <c r="C97" s="220"/>
      <c r="D97" s="220"/>
      <c r="E97" s="220"/>
      <c r="F97" s="220"/>
      <c r="G97" s="12">
        <v>86</v>
      </c>
      <c r="H97" s="56">
        <v>0</v>
      </c>
      <c r="I97" s="56">
        <f t="shared" si="28"/>
        <v>0</v>
      </c>
      <c r="J97" s="56">
        <v>0</v>
      </c>
      <c r="K97" s="56">
        <f t="shared" si="29"/>
        <v>0</v>
      </c>
    </row>
    <row r="98" spans="1:11" ht="25.5" customHeight="1" x14ac:dyDescent="0.2">
      <c r="A98" s="231" t="s">
        <v>438</v>
      </c>
      <c r="B98" s="231"/>
      <c r="C98" s="231"/>
      <c r="D98" s="231"/>
      <c r="E98" s="231"/>
      <c r="F98" s="231"/>
      <c r="G98" s="12">
        <v>87</v>
      </c>
      <c r="H98" s="73">
        <f>SUM(H99:H106)</f>
        <v>0</v>
      </c>
      <c r="I98" s="73">
        <f>SUM(I99:I106)</f>
        <v>0</v>
      </c>
      <c r="J98" s="73">
        <f t="shared" ref="J98:K98" si="30">SUM(J99:J106)</f>
        <v>0</v>
      </c>
      <c r="K98" s="73">
        <f t="shared" si="30"/>
        <v>0</v>
      </c>
    </row>
    <row r="99" spans="1:11" x14ac:dyDescent="0.2">
      <c r="A99" s="232" t="s">
        <v>160</v>
      </c>
      <c r="B99" s="232"/>
      <c r="C99" s="232"/>
      <c r="D99" s="232"/>
      <c r="E99" s="232"/>
      <c r="F99" s="232"/>
      <c r="G99" s="11">
        <v>88</v>
      </c>
      <c r="H99" s="56">
        <v>0</v>
      </c>
      <c r="I99" s="56">
        <f t="shared" ref="I99:I107" si="31">+H99-0</f>
        <v>0</v>
      </c>
      <c r="J99" s="56">
        <v>0</v>
      </c>
      <c r="K99" s="56">
        <f t="shared" ref="K99:K107" si="32">+J99-0</f>
        <v>0</v>
      </c>
    </row>
    <row r="100" spans="1:11" ht="36" customHeight="1" x14ac:dyDescent="0.2">
      <c r="A100" s="220" t="s">
        <v>388</v>
      </c>
      <c r="B100" s="220"/>
      <c r="C100" s="220"/>
      <c r="D100" s="220"/>
      <c r="E100" s="220"/>
      <c r="F100" s="220"/>
      <c r="G100" s="11">
        <v>89</v>
      </c>
      <c r="H100" s="56">
        <v>0</v>
      </c>
      <c r="I100" s="56">
        <f t="shared" si="31"/>
        <v>0</v>
      </c>
      <c r="J100" s="56">
        <v>0</v>
      </c>
      <c r="K100" s="56">
        <f t="shared" si="32"/>
        <v>0</v>
      </c>
    </row>
    <row r="101" spans="1:11" ht="22.15" customHeight="1" x14ac:dyDescent="0.2">
      <c r="A101" s="232" t="s">
        <v>161</v>
      </c>
      <c r="B101" s="232"/>
      <c r="C101" s="232"/>
      <c r="D101" s="232"/>
      <c r="E101" s="232"/>
      <c r="F101" s="232"/>
      <c r="G101" s="11">
        <v>90</v>
      </c>
      <c r="H101" s="56">
        <v>0</v>
      </c>
      <c r="I101" s="56">
        <f t="shared" si="31"/>
        <v>0</v>
      </c>
      <c r="J101" s="56">
        <v>0</v>
      </c>
      <c r="K101" s="56">
        <f t="shared" si="32"/>
        <v>0</v>
      </c>
    </row>
    <row r="102" spans="1:11" ht="22.15" customHeight="1" x14ac:dyDescent="0.2">
      <c r="A102" s="232" t="s">
        <v>162</v>
      </c>
      <c r="B102" s="232"/>
      <c r="C102" s="232"/>
      <c r="D102" s="232"/>
      <c r="E102" s="232"/>
      <c r="F102" s="232"/>
      <c r="G102" s="11">
        <v>91</v>
      </c>
      <c r="H102" s="56">
        <v>0</v>
      </c>
      <c r="I102" s="56">
        <f t="shared" si="31"/>
        <v>0</v>
      </c>
      <c r="J102" s="56">
        <v>0</v>
      </c>
      <c r="K102" s="56">
        <f t="shared" si="32"/>
        <v>0</v>
      </c>
    </row>
    <row r="103" spans="1:11" ht="22.15" customHeight="1" x14ac:dyDescent="0.2">
      <c r="A103" s="232" t="s">
        <v>163</v>
      </c>
      <c r="B103" s="232"/>
      <c r="C103" s="232"/>
      <c r="D103" s="232"/>
      <c r="E103" s="232"/>
      <c r="F103" s="232"/>
      <c r="G103" s="11">
        <v>92</v>
      </c>
      <c r="H103" s="56">
        <v>0</v>
      </c>
      <c r="I103" s="56">
        <f t="shared" si="31"/>
        <v>0</v>
      </c>
      <c r="J103" s="56">
        <v>0</v>
      </c>
      <c r="K103" s="56">
        <f t="shared" si="32"/>
        <v>0</v>
      </c>
    </row>
    <row r="104" spans="1:11" ht="12.75" customHeight="1" x14ac:dyDescent="0.2">
      <c r="A104" s="220" t="s">
        <v>389</v>
      </c>
      <c r="B104" s="220"/>
      <c r="C104" s="220"/>
      <c r="D104" s="220"/>
      <c r="E104" s="220"/>
      <c r="F104" s="220"/>
      <c r="G104" s="11">
        <v>93</v>
      </c>
      <c r="H104" s="56">
        <v>0</v>
      </c>
      <c r="I104" s="56">
        <f t="shared" si="31"/>
        <v>0</v>
      </c>
      <c r="J104" s="56">
        <v>0</v>
      </c>
      <c r="K104" s="56">
        <f t="shared" si="32"/>
        <v>0</v>
      </c>
    </row>
    <row r="105" spans="1:11" ht="26.25" customHeight="1" x14ac:dyDescent="0.2">
      <c r="A105" s="220" t="s">
        <v>390</v>
      </c>
      <c r="B105" s="220"/>
      <c r="C105" s="220"/>
      <c r="D105" s="220"/>
      <c r="E105" s="220"/>
      <c r="F105" s="220"/>
      <c r="G105" s="11">
        <v>94</v>
      </c>
      <c r="H105" s="56">
        <v>0</v>
      </c>
      <c r="I105" s="56">
        <f t="shared" si="31"/>
        <v>0</v>
      </c>
      <c r="J105" s="56">
        <v>0</v>
      </c>
      <c r="K105" s="56">
        <f t="shared" si="32"/>
        <v>0</v>
      </c>
    </row>
    <row r="106" spans="1:11" x14ac:dyDescent="0.2">
      <c r="A106" s="220" t="s">
        <v>391</v>
      </c>
      <c r="B106" s="220"/>
      <c r="C106" s="220"/>
      <c r="D106" s="220"/>
      <c r="E106" s="220"/>
      <c r="F106" s="220"/>
      <c r="G106" s="11">
        <v>95</v>
      </c>
      <c r="H106" s="56">
        <v>0</v>
      </c>
      <c r="I106" s="56">
        <f t="shared" si="31"/>
        <v>0</v>
      </c>
      <c r="J106" s="56">
        <v>0</v>
      </c>
      <c r="K106" s="56">
        <f t="shared" si="32"/>
        <v>0</v>
      </c>
    </row>
    <row r="107" spans="1:11" ht="24.75" customHeight="1" x14ac:dyDescent="0.2">
      <c r="A107" s="220" t="s">
        <v>392</v>
      </c>
      <c r="B107" s="220"/>
      <c r="C107" s="220"/>
      <c r="D107" s="220"/>
      <c r="E107" s="220"/>
      <c r="F107" s="220"/>
      <c r="G107" s="11">
        <v>96</v>
      </c>
      <c r="H107" s="56">
        <v>0</v>
      </c>
      <c r="I107" s="56">
        <f t="shared" si="31"/>
        <v>0</v>
      </c>
      <c r="J107" s="56">
        <v>0</v>
      </c>
      <c r="K107" s="56">
        <f t="shared" si="32"/>
        <v>0</v>
      </c>
    </row>
    <row r="108" spans="1:11" ht="22.9" customHeight="1" x14ac:dyDescent="0.2">
      <c r="A108" s="184" t="s">
        <v>439</v>
      </c>
      <c r="B108" s="184"/>
      <c r="C108" s="184"/>
      <c r="D108" s="184"/>
      <c r="E108" s="184"/>
      <c r="F108" s="184"/>
      <c r="G108" s="12">
        <v>97</v>
      </c>
      <c r="H108" s="73">
        <f>H91+H98-H107-H97</f>
        <v>0</v>
      </c>
      <c r="I108" s="73">
        <f>I91+I98-I107-I97</f>
        <v>0</v>
      </c>
      <c r="J108" s="73">
        <f t="shared" ref="J108:K108" si="33">J91+J98-J107-J97</f>
        <v>0</v>
      </c>
      <c r="K108" s="73">
        <f t="shared" si="33"/>
        <v>0</v>
      </c>
    </row>
    <row r="109" spans="1:11" ht="12.75" customHeight="1" x14ac:dyDescent="0.2">
      <c r="A109" s="184" t="s">
        <v>393</v>
      </c>
      <c r="B109" s="184"/>
      <c r="C109" s="184"/>
      <c r="D109" s="184"/>
      <c r="E109" s="184"/>
      <c r="F109" s="184"/>
      <c r="G109" s="12">
        <v>98</v>
      </c>
      <c r="H109" s="55">
        <f>H89+H108</f>
        <v>5646899</v>
      </c>
      <c r="I109" s="55">
        <f>I89+I108</f>
        <v>2262360</v>
      </c>
      <c r="J109" s="55">
        <f t="shared" ref="J109:K109" si="34">J89+J108</f>
        <v>6163328</v>
      </c>
      <c r="K109" s="55">
        <f t="shared" si="34"/>
        <v>938544</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5646899</v>
      </c>
      <c r="I111" s="55">
        <f>I112+I113</f>
        <v>2262360</v>
      </c>
      <c r="J111" s="55">
        <f>J112+J113</f>
        <v>6163328</v>
      </c>
      <c r="K111" s="55">
        <f>K112+K113</f>
        <v>938544</v>
      </c>
    </row>
    <row r="112" spans="1:11" ht="12.75" customHeight="1" x14ac:dyDescent="0.2">
      <c r="A112" s="228" t="s">
        <v>113</v>
      </c>
      <c r="B112" s="228"/>
      <c r="C112" s="228"/>
      <c r="D112" s="228"/>
      <c r="E112" s="228"/>
      <c r="F112" s="228"/>
      <c r="G112" s="11">
        <v>100</v>
      </c>
      <c r="H112" s="56">
        <f>+H86</f>
        <v>5656628</v>
      </c>
      <c r="I112" s="56">
        <f>+H112-3395603</f>
        <v>2261025</v>
      </c>
      <c r="J112" s="56">
        <f>+J86</f>
        <v>6146983</v>
      </c>
      <c r="K112" s="56">
        <f>+J112-5242908</f>
        <v>904075</v>
      </c>
    </row>
    <row r="113" spans="1:11" ht="12.75" customHeight="1" x14ac:dyDescent="0.2">
      <c r="A113" s="228" t="s">
        <v>165</v>
      </c>
      <c r="B113" s="228"/>
      <c r="C113" s="228"/>
      <c r="D113" s="228"/>
      <c r="E113" s="228"/>
      <c r="F113" s="228"/>
      <c r="G113" s="11">
        <v>101</v>
      </c>
      <c r="H113" s="56">
        <f>+H87</f>
        <v>-9729</v>
      </c>
      <c r="I113" s="56">
        <f>+H113+11064</f>
        <v>1335</v>
      </c>
      <c r="J113" s="56">
        <v>16345</v>
      </c>
      <c r="K113" s="56">
        <f>+J113+18124</f>
        <v>34469</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0" zoomScaleNormal="100" zoomScaleSheetLayoutView="80" workbookViewId="0">
      <selection activeCell="H54" sqref="H5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470</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467</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6895004</v>
      </c>
      <c r="I8" s="68">
        <v>7516254</v>
      </c>
    </row>
    <row r="9" spans="1:9" ht="12.75" customHeight="1" x14ac:dyDescent="0.2">
      <c r="A9" s="240" t="s">
        <v>171</v>
      </c>
      <c r="B9" s="240"/>
      <c r="C9" s="240"/>
      <c r="D9" s="240"/>
      <c r="E9" s="240"/>
      <c r="F9" s="240"/>
      <c r="G9" s="69">
        <v>2</v>
      </c>
      <c r="H9" s="70">
        <f>H10+H11+H12+H13+H14+H15+H16+H17</f>
        <v>19565868</v>
      </c>
      <c r="I9" s="70">
        <f>I10+I11+I12+I13+I14+I15+I16+I17</f>
        <v>3863754</v>
      </c>
    </row>
    <row r="10" spans="1:9" ht="12.75" customHeight="1" x14ac:dyDescent="0.2">
      <c r="A10" s="217" t="s">
        <v>172</v>
      </c>
      <c r="B10" s="217"/>
      <c r="C10" s="217"/>
      <c r="D10" s="217"/>
      <c r="E10" s="217"/>
      <c r="F10" s="217"/>
      <c r="G10" s="67">
        <v>3</v>
      </c>
      <c r="H10" s="68">
        <v>4940543</v>
      </c>
      <c r="I10" s="68">
        <v>4519649</v>
      </c>
    </row>
    <row r="11" spans="1:9" ht="22.15" customHeight="1" x14ac:dyDescent="0.2">
      <c r="A11" s="217" t="s">
        <v>173</v>
      </c>
      <c r="B11" s="217"/>
      <c r="C11" s="217"/>
      <c r="D11" s="217"/>
      <c r="E11" s="217"/>
      <c r="F11" s="217"/>
      <c r="G11" s="67">
        <v>4</v>
      </c>
      <c r="H11" s="68">
        <v>-452</v>
      </c>
      <c r="I11" s="68">
        <v>-2049</v>
      </c>
    </row>
    <row r="12" spans="1:9" ht="23.45" customHeight="1" x14ac:dyDescent="0.2">
      <c r="A12" s="217" t="s">
        <v>174</v>
      </c>
      <c r="B12" s="217"/>
      <c r="C12" s="217"/>
      <c r="D12" s="217"/>
      <c r="E12" s="217"/>
      <c r="F12" s="217"/>
      <c r="G12" s="67">
        <v>5</v>
      </c>
      <c r="H12" s="68">
        <v>0</v>
      </c>
      <c r="I12" s="68">
        <v>50000</v>
      </c>
    </row>
    <row r="13" spans="1:9" ht="12.75" customHeight="1" x14ac:dyDescent="0.2">
      <c r="A13" s="217" t="s">
        <v>175</v>
      </c>
      <c r="B13" s="217"/>
      <c r="C13" s="217"/>
      <c r="D13" s="217"/>
      <c r="E13" s="217"/>
      <c r="F13" s="217"/>
      <c r="G13" s="67">
        <v>6</v>
      </c>
      <c r="H13" s="68">
        <v>-21638</v>
      </c>
      <c r="I13" s="68">
        <v>-100705</v>
      </c>
    </row>
    <row r="14" spans="1:9" ht="12.75" customHeight="1" x14ac:dyDescent="0.2">
      <c r="A14" s="217" t="s">
        <v>176</v>
      </c>
      <c r="B14" s="217"/>
      <c r="C14" s="217"/>
      <c r="D14" s="217"/>
      <c r="E14" s="217"/>
      <c r="F14" s="217"/>
      <c r="G14" s="67">
        <v>7</v>
      </c>
      <c r="H14" s="68">
        <v>39379</v>
      </c>
      <c r="I14" s="68">
        <v>21896</v>
      </c>
    </row>
    <row r="15" spans="1:9" ht="12.75" customHeight="1" x14ac:dyDescent="0.2">
      <c r="A15" s="217" t="s">
        <v>177</v>
      </c>
      <c r="B15" s="217"/>
      <c r="C15" s="217"/>
      <c r="D15" s="217"/>
      <c r="E15" s="217"/>
      <c r="F15" s="217"/>
      <c r="G15" s="67">
        <v>8</v>
      </c>
      <c r="H15" s="68">
        <v>-295654</v>
      </c>
      <c r="I15" s="68">
        <v>-344464</v>
      </c>
    </row>
    <row r="16" spans="1:9" ht="12.75" customHeight="1" x14ac:dyDescent="0.2">
      <c r="A16" s="217" t="s">
        <v>178</v>
      </c>
      <c r="B16" s="217"/>
      <c r="C16" s="217"/>
      <c r="D16" s="217"/>
      <c r="E16" s="217"/>
      <c r="F16" s="217"/>
      <c r="G16" s="67">
        <v>9</v>
      </c>
      <c r="H16" s="68">
        <v>-50616</v>
      </c>
      <c r="I16" s="68">
        <v>4689</v>
      </c>
    </row>
    <row r="17" spans="1:9" ht="25.15" customHeight="1" x14ac:dyDescent="0.2">
      <c r="A17" s="217" t="s">
        <v>179</v>
      </c>
      <c r="B17" s="217"/>
      <c r="C17" s="217"/>
      <c r="D17" s="217"/>
      <c r="E17" s="217"/>
      <c r="F17" s="217"/>
      <c r="G17" s="67">
        <v>10</v>
      </c>
      <c r="H17" s="68">
        <v>14954306</v>
      </c>
      <c r="I17" s="68">
        <v>-285262</v>
      </c>
    </row>
    <row r="18" spans="1:9" ht="28.15" customHeight="1" x14ac:dyDescent="0.2">
      <c r="A18" s="239" t="s">
        <v>306</v>
      </c>
      <c r="B18" s="239"/>
      <c r="C18" s="239"/>
      <c r="D18" s="239"/>
      <c r="E18" s="239"/>
      <c r="F18" s="239"/>
      <c r="G18" s="69">
        <v>11</v>
      </c>
      <c r="H18" s="70">
        <f>H8+H9</f>
        <v>26460872</v>
      </c>
      <c r="I18" s="70">
        <f>I8+I9</f>
        <v>11380008</v>
      </c>
    </row>
    <row r="19" spans="1:9" ht="12.75" customHeight="1" x14ac:dyDescent="0.2">
      <c r="A19" s="240" t="s">
        <v>180</v>
      </c>
      <c r="B19" s="240"/>
      <c r="C19" s="240"/>
      <c r="D19" s="240"/>
      <c r="E19" s="240"/>
      <c r="F19" s="240"/>
      <c r="G19" s="69">
        <v>12</v>
      </c>
      <c r="H19" s="70">
        <f>H20+H21+H22+H23</f>
        <v>-17569780</v>
      </c>
      <c r="I19" s="70">
        <f>I20+I21+I22+I23</f>
        <v>2063495</v>
      </c>
    </row>
    <row r="20" spans="1:9" ht="12.75" customHeight="1" x14ac:dyDescent="0.2">
      <c r="A20" s="217" t="s">
        <v>181</v>
      </c>
      <c r="B20" s="217"/>
      <c r="C20" s="217"/>
      <c r="D20" s="217"/>
      <c r="E20" s="217"/>
      <c r="F20" s="217"/>
      <c r="G20" s="67">
        <v>13</v>
      </c>
      <c r="H20" s="68">
        <v>-2725952</v>
      </c>
      <c r="I20" s="68">
        <v>2941583</v>
      </c>
    </row>
    <row r="21" spans="1:9" ht="12.75" customHeight="1" x14ac:dyDescent="0.2">
      <c r="A21" s="217" t="s">
        <v>182</v>
      </c>
      <c r="B21" s="217"/>
      <c r="C21" s="217"/>
      <c r="D21" s="217"/>
      <c r="E21" s="217"/>
      <c r="F21" s="217"/>
      <c r="G21" s="67">
        <v>14</v>
      </c>
      <c r="H21" s="68">
        <v>-12779244</v>
      </c>
      <c r="I21" s="68">
        <v>-2832386</v>
      </c>
    </row>
    <row r="22" spans="1:9" ht="12.75" customHeight="1" x14ac:dyDescent="0.2">
      <c r="A22" s="217" t="s">
        <v>183</v>
      </c>
      <c r="B22" s="217"/>
      <c r="C22" s="217"/>
      <c r="D22" s="217"/>
      <c r="E22" s="217"/>
      <c r="F22" s="217"/>
      <c r="G22" s="67">
        <v>15</v>
      </c>
      <c r="H22" s="68">
        <v>-2064584</v>
      </c>
      <c r="I22" s="68">
        <v>1954298</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8891092</v>
      </c>
      <c r="I24" s="70">
        <f>I18+I19</f>
        <v>13443503</v>
      </c>
    </row>
    <row r="25" spans="1:9" ht="12.75" customHeight="1" x14ac:dyDescent="0.2">
      <c r="A25" s="182" t="s">
        <v>186</v>
      </c>
      <c r="B25" s="182"/>
      <c r="C25" s="182"/>
      <c r="D25" s="182"/>
      <c r="E25" s="182"/>
      <c r="F25" s="182"/>
      <c r="G25" s="67">
        <v>18</v>
      </c>
      <c r="H25" s="68">
        <v>-8011</v>
      </c>
      <c r="I25" s="68">
        <v>-29603</v>
      </c>
    </row>
    <row r="26" spans="1:9" ht="12.75" customHeight="1" x14ac:dyDescent="0.2">
      <c r="A26" s="182" t="s">
        <v>187</v>
      </c>
      <c r="B26" s="182"/>
      <c r="C26" s="182"/>
      <c r="D26" s="182"/>
      <c r="E26" s="182"/>
      <c r="F26" s="182"/>
      <c r="G26" s="67">
        <v>19</v>
      </c>
      <c r="H26" s="68">
        <v>-2807279</v>
      </c>
      <c r="I26" s="68">
        <v>-859476</v>
      </c>
    </row>
    <row r="27" spans="1:9" ht="25.9" customHeight="1" x14ac:dyDescent="0.2">
      <c r="A27" s="244" t="s">
        <v>188</v>
      </c>
      <c r="B27" s="244"/>
      <c r="C27" s="244"/>
      <c r="D27" s="244"/>
      <c r="E27" s="244"/>
      <c r="F27" s="244"/>
      <c r="G27" s="69">
        <v>20</v>
      </c>
      <c r="H27" s="70">
        <f>H24+H25+H26</f>
        <v>6075802</v>
      </c>
      <c r="I27" s="70">
        <f>I24+I25+I26</f>
        <v>12554424</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452</v>
      </c>
      <c r="I29" s="71">
        <v>2049</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744</v>
      </c>
      <c r="I32" s="71">
        <v>818</v>
      </c>
    </row>
    <row r="33" spans="1:9" ht="12.75" customHeight="1" x14ac:dyDescent="0.2">
      <c r="A33" s="182" t="s">
        <v>194</v>
      </c>
      <c r="B33" s="182"/>
      <c r="C33" s="182"/>
      <c r="D33" s="182"/>
      <c r="E33" s="182"/>
      <c r="F33" s="182"/>
      <c r="G33" s="67">
        <v>25</v>
      </c>
      <c r="H33" s="71">
        <v>10800</v>
      </c>
      <c r="I33" s="71">
        <v>132400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11996</v>
      </c>
      <c r="I35" s="72">
        <f>I29+I30+I31+I32+I33+I34</f>
        <v>135267</v>
      </c>
    </row>
    <row r="36" spans="1:9" ht="22.9" customHeight="1" x14ac:dyDescent="0.2">
      <c r="A36" s="182" t="s">
        <v>197</v>
      </c>
      <c r="B36" s="182"/>
      <c r="C36" s="182"/>
      <c r="D36" s="182"/>
      <c r="E36" s="182"/>
      <c r="F36" s="182"/>
      <c r="G36" s="67">
        <v>28</v>
      </c>
      <c r="H36" s="71">
        <v>-7656150</v>
      </c>
      <c r="I36" s="71">
        <v>-16302791</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-65000</v>
      </c>
      <c r="I38" s="71">
        <v>-100000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-7721150</v>
      </c>
      <c r="I41" s="72">
        <f>I36+I37+I38+I39+I40</f>
        <v>-16402791</v>
      </c>
    </row>
    <row r="42" spans="1:9" ht="29.45" customHeight="1" x14ac:dyDescent="0.2">
      <c r="A42" s="244" t="s">
        <v>203</v>
      </c>
      <c r="B42" s="244"/>
      <c r="C42" s="244"/>
      <c r="D42" s="244"/>
      <c r="E42" s="244"/>
      <c r="F42" s="244"/>
      <c r="G42" s="69">
        <v>34</v>
      </c>
      <c r="H42" s="72">
        <f>H35+H41</f>
        <v>-7709154</v>
      </c>
      <c r="I42" s="72">
        <f>I35+I41</f>
        <v>-16267524</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-1231376</v>
      </c>
      <c r="I49" s="71">
        <v>-199174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-1231376</v>
      </c>
      <c r="I54" s="72">
        <f>I49+I50+I51+I52+I53</f>
        <v>-199174</v>
      </c>
    </row>
    <row r="55" spans="1:9" ht="29.45" customHeight="1" x14ac:dyDescent="0.2">
      <c r="A55" s="244" t="s">
        <v>215</v>
      </c>
      <c r="B55" s="244"/>
      <c r="C55" s="244"/>
      <c r="D55" s="244"/>
      <c r="E55" s="244"/>
      <c r="F55" s="244"/>
      <c r="G55" s="69">
        <v>46</v>
      </c>
      <c r="H55" s="72">
        <f>H48+H54</f>
        <v>-1231376</v>
      </c>
      <c r="I55" s="72">
        <f>I48+I54</f>
        <v>-199174</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-2864728</v>
      </c>
      <c r="I57" s="72">
        <f>I27+I42+I55+I56</f>
        <v>-3912274</v>
      </c>
    </row>
    <row r="58" spans="1:9" x14ac:dyDescent="0.2">
      <c r="A58" s="245" t="s">
        <v>218</v>
      </c>
      <c r="B58" s="245"/>
      <c r="C58" s="245"/>
      <c r="D58" s="245"/>
      <c r="E58" s="245"/>
      <c r="F58" s="245"/>
      <c r="G58" s="67">
        <v>49</v>
      </c>
      <c r="H58" s="71">
        <v>17455565</v>
      </c>
      <c r="I58" s="71">
        <v>13353119</v>
      </c>
    </row>
    <row r="59" spans="1:9" ht="31.15" customHeight="1" x14ac:dyDescent="0.2">
      <c r="A59" s="244" t="s">
        <v>219</v>
      </c>
      <c r="B59" s="244"/>
      <c r="C59" s="244"/>
      <c r="D59" s="244"/>
      <c r="E59" s="244"/>
      <c r="F59" s="244"/>
      <c r="G59" s="69">
        <v>50</v>
      </c>
      <c r="H59" s="72">
        <f>H57+H58</f>
        <v>14590837</v>
      </c>
      <c r="I59" s="72">
        <f>I57+I58</f>
        <v>9440845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activeCell="H5" sqref="H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45565</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22315014</v>
      </c>
      <c r="I7" s="33">
        <v>0</v>
      </c>
      <c r="J7" s="33">
        <v>1115751</v>
      </c>
      <c r="K7" s="33">
        <v>1664344</v>
      </c>
      <c r="L7" s="33">
        <v>1069185</v>
      </c>
      <c r="M7" s="33">
        <v>0</v>
      </c>
      <c r="N7" s="33">
        <v>15808332</v>
      </c>
      <c r="O7" s="33">
        <v>0</v>
      </c>
      <c r="P7" s="33">
        <v>0</v>
      </c>
      <c r="Q7" s="33">
        <v>0</v>
      </c>
      <c r="R7" s="33">
        <v>0</v>
      </c>
      <c r="S7" s="33">
        <v>0</v>
      </c>
      <c r="T7" s="33">
        <v>0</v>
      </c>
      <c r="U7" s="33">
        <v>0</v>
      </c>
      <c r="V7" s="33">
        <v>5451101</v>
      </c>
      <c r="W7" s="34">
        <f>H7+I7+J7+K7-L7+M7+N7+O7+P7+Q7+R7+U7+V7+S7+T7</f>
        <v>45285357</v>
      </c>
      <c r="X7" s="33">
        <v>2788</v>
      </c>
      <c r="Y7" s="34">
        <f>W7+X7</f>
        <v>45288145</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22315014</v>
      </c>
      <c r="I10" s="34">
        <f t="shared" ref="I10:Y10" si="2">I7+I8+I9</f>
        <v>0</v>
      </c>
      <c r="J10" s="34">
        <f t="shared" si="2"/>
        <v>1115751</v>
      </c>
      <c r="K10" s="34">
        <f>K7+K8+K9</f>
        <v>1664344</v>
      </c>
      <c r="L10" s="34">
        <f t="shared" si="2"/>
        <v>1069185</v>
      </c>
      <c r="M10" s="34">
        <f t="shared" si="2"/>
        <v>0</v>
      </c>
      <c r="N10" s="34">
        <f t="shared" si="2"/>
        <v>15808332</v>
      </c>
      <c r="O10" s="34">
        <f t="shared" si="2"/>
        <v>0</v>
      </c>
      <c r="P10" s="34">
        <f t="shared" si="2"/>
        <v>0</v>
      </c>
      <c r="Q10" s="34">
        <f t="shared" si="2"/>
        <v>0</v>
      </c>
      <c r="R10" s="34">
        <f t="shared" si="2"/>
        <v>0</v>
      </c>
      <c r="S10" s="34">
        <f t="shared" si="2"/>
        <v>0</v>
      </c>
      <c r="T10" s="34">
        <f t="shared" si="2"/>
        <v>0</v>
      </c>
      <c r="U10" s="34">
        <f t="shared" si="2"/>
        <v>0</v>
      </c>
      <c r="V10" s="34">
        <f t="shared" si="2"/>
        <v>5451101</v>
      </c>
      <c r="W10" s="34">
        <f t="shared" si="2"/>
        <v>45285357</v>
      </c>
      <c r="X10" s="34">
        <f t="shared" si="2"/>
        <v>2788</v>
      </c>
      <c r="Y10" s="34">
        <f t="shared" si="2"/>
        <v>45288145</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4729248</v>
      </c>
      <c r="W11" s="34">
        <f t="shared" ref="W11:W29" si="3">H11+I11+J11+K11-L11+M11+N11+O11+P11+Q11+R11+U11+V11+S11+T11</f>
        <v>4729248</v>
      </c>
      <c r="X11" s="33">
        <v>0</v>
      </c>
      <c r="Y11" s="34">
        <f t="shared" ref="Y11:Y29" si="4">W11+X11</f>
        <v>4729248</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-8701</v>
      </c>
      <c r="O19" s="33">
        <v>0</v>
      </c>
      <c r="P19" s="33">
        <v>0</v>
      </c>
      <c r="Q19" s="33">
        <v>0</v>
      </c>
      <c r="R19" s="33">
        <v>0</v>
      </c>
      <c r="S19" s="33">
        <v>0</v>
      </c>
      <c r="T19" s="33">
        <v>0</v>
      </c>
      <c r="U19" s="33">
        <v>0</v>
      </c>
      <c r="V19" s="33">
        <v>0</v>
      </c>
      <c r="W19" s="34">
        <f t="shared" si="3"/>
        <v>-8701</v>
      </c>
      <c r="X19" s="33">
        <v>0</v>
      </c>
      <c r="Y19" s="34">
        <f t="shared" si="4"/>
        <v>-8701</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5423921</v>
      </c>
      <c r="O28" s="33">
        <v>0</v>
      </c>
      <c r="P28" s="33">
        <v>0</v>
      </c>
      <c r="Q28" s="33">
        <v>0</v>
      </c>
      <c r="R28" s="33">
        <v>0</v>
      </c>
      <c r="S28" s="33">
        <v>0</v>
      </c>
      <c r="T28" s="33">
        <v>0</v>
      </c>
      <c r="U28" s="33">
        <v>0</v>
      </c>
      <c r="V28" s="33">
        <v>-5451101</v>
      </c>
      <c r="W28" s="34">
        <f t="shared" si="3"/>
        <v>-27180</v>
      </c>
      <c r="X28" s="33">
        <v>27180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22315014</v>
      </c>
      <c r="I30" s="36">
        <f t="shared" ref="I30:Y30" si="5">SUM(I10:I29)</f>
        <v>0</v>
      </c>
      <c r="J30" s="36">
        <f t="shared" si="5"/>
        <v>1115751</v>
      </c>
      <c r="K30" s="36">
        <f t="shared" si="5"/>
        <v>1664344</v>
      </c>
      <c r="L30" s="36">
        <f t="shared" si="5"/>
        <v>1069185</v>
      </c>
      <c r="M30" s="36">
        <f t="shared" si="5"/>
        <v>0</v>
      </c>
      <c r="N30" s="36">
        <f t="shared" si="5"/>
        <v>21223552</v>
      </c>
      <c r="O30" s="36">
        <f t="shared" si="5"/>
        <v>0</v>
      </c>
      <c r="P30" s="36">
        <f t="shared" si="5"/>
        <v>0</v>
      </c>
      <c r="Q30" s="36">
        <f t="shared" si="5"/>
        <v>0</v>
      </c>
      <c r="R30" s="36">
        <f t="shared" si="5"/>
        <v>0</v>
      </c>
      <c r="S30" s="36">
        <f t="shared" si="5"/>
        <v>0</v>
      </c>
      <c r="T30" s="36">
        <f t="shared" si="5"/>
        <v>0</v>
      </c>
      <c r="U30" s="36">
        <f t="shared" si="5"/>
        <v>0</v>
      </c>
      <c r="V30" s="36">
        <f t="shared" si="5"/>
        <v>4729248</v>
      </c>
      <c r="W30" s="36">
        <f t="shared" si="5"/>
        <v>49978724</v>
      </c>
      <c r="X30" s="36">
        <f t="shared" si="5"/>
        <v>29968</v>
      </c>
      <c r="Y30" s="36">
        <f t="shared" si="5"/>
        <v>50008692</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-8701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-8701</v>
      </c>
      <c r="X32" s="34">
        <f t="shared" si="6"/>
        <v>0</v>
      </c>
      <c r="Y32" s="34">
        <f t="shared" si="6"/>
        <v>-8701</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-8701</v>
      </c>
      <c r="O33" s="34">
        <f t="shared" si="8"/>
        <v>0</v>
      </c>
      <c r="P33" s="34">
        <f t="shared" si="8"/>
        <v>0</v>
      </c>
      <c r="Q33" s="34">
        <f t="shared" si="8"/>
        <v>0</v>
      </c>
      <c r="R33" s="34">
        <f t="shared" si="8"/>
        <v>0</v>
      </c>
      <c r="S33" s="34">
        <f t="shared" ref="S33:T33" si="9">S11+S32</f>
        <v>0</v>
      </c>
      <c r="T33" s="34">
        <f t="shared" si="9"/>
        <v>0</v>
      </c>
      <c r="U33" s="34">
        <f t="shared" si="8"/>
        <v>0</v>
      </c>
      <c r="V33" s="34">
        <f t="shared" si="8"/>
        <v>4729248</v>
      </c>
      <c r="W33" s="34">
        <f t="shared" si="8"/>
        <v>4720547</v>
      </c>
      <c r="X33" s="34">
        <f t="shared" si="8"/>
        <v>0</v>
      </c>
      <c r="Y33" s="34">
        <f t="shared" si="8"/>
        <v>4720547</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5423921</v>
      </c>
      <c r="O34" s="36">
        <f t="shared" si="10"/>
        <v>0</v>
      </c>
      <c r="P34" s="36">
        <f t="shared" si="10"/>
        <v>0</v>
      </c>
      <c r="Q34" s="36">
        <f t="shared" si="10"/>
        <v>0</v>
      </c>
      <c r="R34" s="36">
        <f t="shared" si="10"/>
        <v>0</v>
      </c>
      <c r="S34" s="36">
        <f t="shared" ref="S34:T34" si="11">SUM(S21:S29)</f>
        <v>0</v>
      </c>
      <c r="T34" s="36">
        <f t="shared" si="11"/>
        <v>0</v>
      </c>
      <c r="U34" s="36">
        <f t="shared" si="10"/>
        <v>0</v>
      </c>
      <c r="V34" s="36">
        <f t="shared" si="10"/>
        <v>-5451101</v>
      </c>
      <c r="W34" s="36">
        <f t="shared" si="10"/>
        <v>-27180</v>
      </c>
      <c r="X34" s="36">
        <f t="shared" si="10"/>
        <v>27180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 t="shared" ref="H36:U36" si="12">+H30</f>
        <v>22315014</v>
      </c>
      <c r="I36" s="33">
        <f t="shared" si="12"/>
        <v>0</v>
      </c>
      <c r="J36" s="33">
        <f t="shared" si="12"/>
        <v>1115751</v>
      </c>
      <c r="K36" s="33">
        <f t="shared" si="12"/>
        <v>1664344</v>
      </c>
      <c r="L36" s="33">
        <f t="shared" si="12"/>
        <v>1069185</v>
      </c>
      <c r="M36" s="33">
        <f t="shared" si="12"/>
        <v>0</v>
      </c>
      <c r="N36" s="33">
        <f t="shared" si="12"/>
        <v>21223552</v>
      </c>
      <c r="O36" s="33">
        <f t="shared" si="12"/>
        <v>0</v>
      </c>
      <c r="P36" s="33">
        <f t="shared" si="12"/>
        <v>0</v>
      </c>
      <c r="Q36" s="33">
        <f t="shared" si="12"/>
        <v>0</v>
      </c>
      <c r="R36" s="33">
        <f t="shared" si="12"/>
        <v>0</v>
      </c>
      <c r="S36" s="33">
        <f t="shared" si="12"/>
        <v>0</v>
      </c>
      <c r="T36" s="33">
        <f t="shared" si="12"/>
        <v>0</v>
      </c>
      <c r="U36" s="33">
        <f t="shared" si="12"/>
        <v>0</v>
      </c>
      <c r="V36" s="33">
        <f>+V30</f>
        <v>4729248</v>
      </c>
      <c r="W36" s="37">
        <f>H36+I36+J36+K36-L36+M36+N36+O36+P36+Q36+R36+U36+V36+S36+T36</f>
        <v>49978724</v>
      </c>
      <c r="X36" s="33">
        <f>+X30</f>
        <v>29968</v>
      </c>
      <c r="Y36" s="37">
        <f t="shared" ref="Y36:Y38" si="13">W36+X36</f>
        <v>50008692</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1" t="s">
        <v>430</v>
      </c>
      <c r="B39" s="271"/>
      <c r="C39" s="271"/>
      <c r="D39" s="271"/>
      <c r="E39" s="271"/>
      <c r="F39" s="271"/>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21223552</v>
      </c>
      <c r="O39" s="34">
        <f t="shared" si="15"/>
        <v>0</v>
      </c>
      <c r="P39" s="34">
        <f t="shared" si="15"/>
        <v>0</v>
      </c>
      <c r="Q39" s="34">
        <f t="shared" si="15"/>
        <v>0</v>
      </c>
      <c r="R39" s="34">
        <f t="shared" si="15"/>
        <v>0</v>
      </c>
      <c r="S39" s="34">
        <f t="shared" si="15"/>
        <v>0</v>
      </c>
      <c r="T39" s="34">
        <f t="shared" si="15"/>
        <v>0</v>
      </c>
      <c r="U39" s="34">
        <f t="shared" si="15"/>
        <v>0</v>
      </c>
      <c r="V39" s="34">
        <f t="shared" si="15"/>
        <v>4729248</v>
      </c>
      <c r="W39" s="34">
        <f t="shared" si="15"/>
        <v>49978724</v>
      </c>
      <c r="X39" s="34">
        <f t="shared" si="15"/>
        <v>29968</v>
      </c>
      <c r="Y39" s="34">
        <f t="shared" si="15"/>
        <v>50008692</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6163328</v>
      </c>
      <c r="W40" s="37">
        <f t="shared" ref="W40:W58" si="16">H40+I40+J40+K40-L40+M40+N40+O40+P40+Q40+R40+U40+V40+S40+T40</f>
        <v>6163328</v>
      </c>
      <c r="X40" s="33">
        <v>0</v>
      </c>
      <c r="Y40" s="37">
        <f t="shared" ref="Y40:Y58" si="17">W40+X40</f>
        <v>6163328</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0" t="s">
        <v>432</v>
      </c>
      <c r="B57" s="270"/>
      <c r="C57" s="270"/>
      <c r="D57" s="270"/>
      <c r="E57" s="270"/>
      <c r="F57" s="270"/>
      <c r="G57" s="6">
        <v>49</v>
      </c>
      <c r="H57" s="33">
        <v>0</v>
      </c>
      <c r="I57" s="33">
        <v>0</v>
      </c>
      <c r="J57" s="33">
        <v>0</v>
      </c>
      <c r="K57" s="33">
        <v>0</v>
      </c>
      <c r="L57" s="33">
        <v>0</v>
      </c>
      <c r="M57" s="33">
        <v>0</v>
      </c>
      <c r="N57" s="33">
        <f>4725982</f>
        <v>4725982</v>
      </c>
      <c r="O57" s="33">
        <v>0</v>
      </c>
      <c r="P57" s="33">
        <v>0</v>
      </c>
      <c r="Q57" s="33">
        <v>0</v>
      </c>
      <c r="R57" s="33">
        <v>0</v>
      </c>
      <c r="S57" s="33">
        <v>0</v>
      </c>
      <c r="T57" s="33">
        <v>0</v>
      </c>
      <c r="U57" s="33">
        <v>0</v>
      </c>
      <c r="V57" s="33">
        <f>-4729248</f>
        <v>-4729248</v>
      </c>
      <c r="W57" s="37">
        <f t="shared" si="16"/>
        <v>-3266</v>
      </c>
      <c r="X57" s="33">
        <v>3266</v>
      </c>
      <c r="Y57" s="37">
        <f t="shared" si="17"/>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88" t="s">
        <v>433</v>
      </c>
      <c r="B59" s="288"/>
      <c r="C59" s="288"/>
      <c r="D59" s="288"/>
      <c r="E59" s="288"/>
      <c r="F59" s="288"/>
      <c r="G59" s="8">
        <v>51</v>
      </c>
      <c r="H59" s="36">
        <f>SUM(H39:H58)</f>
        <v>22315014</v>
      </c>
      <c r="I59" s="36">
        <f t="shared" ref="I59:Y59" si="18">SUM(I39:I58)</f>
        <v>0</v>
      </c>
      <c r="J59" s="36">
        <f t="shared" si="18"/>
        <v>1115751</v>
      </c>
      <c r="K59" s="36">
        <f t="shared" si="18"/>
        <v>1664344</v>
      </c>
      <c r="L59" s="36">
        <f t="shared" si="18"/>
        <v>1069185</v>
      </c>
      <c r="M59" s="36">
        <f t="shared" si="18"/>
        <v>0</v>
      </c>
      <c r="N59" s="36">
        <f t="shared" si="18"/>
        <v>25949534</v>
      </c>
      <c r="O59" s="36">
        <f t="shared" si="18"/>
        <v>0</v>
      </c>
      <c r="P59" s="36">
        <f t="shared" si="18"/>
        <v>0</v>
      </c>
      <c r="Q59" s="36">
        <f t="shared" si="18"/>
        <v>0</v>
      </c>
      <c r="R59" s="36">
        <f t="shared" si="18"/>
        <v>0</v>
      </c>
      <c r="S59" s="36">
        <f t="shared" si="18"/>
        <v>0</v>
      </c>
      <c r="T59" s="36">
        <f t="shared" si="18"/>
        <v>0</v>
      </c>
      <c r="U59" s="36">
        <f t="shared" si="18"/>
        <v>0</v>
      </c>
      <c r="V59" s="36">
        <f t="shared" si="18"/>
        <v>6163328</v>
      </c>
      <c r="W59" s="36">
        <f t="shared" si="18"/>
        <v>56138786</v>
      </c>
      <c r="X59" s="36">
        <f t="shared" si="18"/>
        <v>33234</v>
      </c>
      <c r="Y59" s="36">
        <f t="shared" si="18"/>
        <v>56172020</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91" t="s">
        <v>435</v>
      </c>
      <c r="B62" s="291"/>
      <c r="C62" s="291"/>
      <c r="D62" s="291"/>
      <c r="E62" s="291"/>
      <c r="F62" s="29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6163328</v>
      </c>
      <c r="W62" s="37">
        <f t="shared" si="21"/>
        <v>6163328</v>
      </c>
      <c r="X62" s="37">
        <f t="shared" si="21"/>
        <v>0</v>
      </c>
      <c r="Y62" s="37">
        <f t="shared" si="21"/>
        <v>6163328</v>
      </c>
    </row>
    <row r="63" spans="1:25" ht="29.25" customHeight="1" x14ac:dyDescent="0.2">
      <c r="A63" s="292" t="s">
        <v>436</v>
      </c>
      <c r="B63" s="292"/>
      <c r="C63" s="292"/>
      <c r="D63" s="292"/>
      <c r="E63" s="292"/>
      <c r="F63" s="292"/>
      <c r="G63" s="8">
        <v>54</v>
      </c>
      <c r="H63" s="38">
        <f>SUM(H50:H58)</f>
        <v>0</v>
      </c>
      <c r="I63" s="38">
        <f t="shared" ref="I63:Y63" si="23">SUM(I50:I58)</f>
        <v>0</v>
      </c>
      <c r="J63" s="38">
        <f t="shared" si="23"/>
        <v>0</v>
      </c>
      <c r="K63" s="38">
        <f t="shared" si="23"/>
        <v>0</v>
      </c>
      <c r="L63" s="38">
        <f t="shared" si="23"/>
        <v>0</v>
      </c>
      <c r="M63" s="38">
        <f t="shared" si="23"/>
        <v>0</v>
      </c>
      <c r="N63" s="38">
        <f t="shared" si="23"/>
        <v>4725982</v>
      </c>
      <c r="O63" s="38">
        <f t="shared" si="23"/>
        <v>0</v>
      </c>
      <c r="P63" s="38">
        <f t="shared" si="23"/>
        <v>0</v>
      </c>
      <c r="Q63" s="38">
        <f t="shared" si="23"/>
        <v>0</v>
      </c>
      <c r="R63" s="38">
        <f t="shared" si="23"/>
        <v>0</v>
      </c>
      <c r="S63" s="38">
        <f t="shared" ref="S63:T63" si="24">SUM(S50:S58)</f>
        <v>0</v>
      </c>
      <c r="T63" s="38">
        <f t="shared" si="24"/>
        <v>0</v>
      </c>
      <c r="U63" s="38">
        <f t="shared" si="23"/>
        <v>0</v>
      </c>
      <c r="V63" s="38">
        <f t="shared" si="23"/>
        <v>-4729248</v>
      </c>
      <c r="W63" s="38">
        <f t="shared" si="23"/>
        <v>-3266</v>
      </c>
      <c r="X63" s="38">
        <f t="shared" si="23"/>
        <v>3266</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47244094488188981" top="0.55118110236220474" bottom="0.55118110236220474" header="0.35433070866141736"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471</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2024-10-28T10:27:31Z</cp:lastPrinted>
  <dcterms:created xsi:type="dcterms:W3CDTF">2008-10-17T11:51:54Z</dcterms:created>
  <dcterms:modified xsi:type="dcterms:W3CDTF">2024-10-28T10:27:46Z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