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1\1Q\"/>
    </mc:Choice>
  </mc:AlternateContent>
  <xr:revisionPtr revIDLastSave="0" documentId="13_ncr:1_{CB25BC8E-4235-4A37-A4D6-BC589F1ED820}" xr6:coauthVersionLast="46" xr6:coauthVersionMax="46"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20" l="1"/>
  <c r="I46" i="20"/>
  <c r="I112"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<sst xmlns="http://schemas.openxmlformats.org/spreadsheetml/2006/main" count="537" uniqueCount="470">
  <si>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</si>
  <si>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</si>
  <si>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</si>
  <si>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</si>
  <si>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</si>
  <si>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</si>
  <si>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</si>
  <si>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</si>
  <si>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</si>
  <si>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</si>
  <si>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</si>
  <si>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</si>
  <si>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</si>
  <si>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</si>
  <si>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</si>
  <si>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</si>
  <si>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</si>
  <si>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</si>
  <si>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</si>
  <si>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</si>
  <si>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</si>
  <si>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</si>
  <si>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</si>
  <si>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</si>
  <si>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</si>
  <si>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</si>
  <si>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</si>
  <si>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</si>
  <si>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</si>
  <si>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</si>
  <si>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</si>
  <si>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</si>
  <si>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</si>
  <si>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</si>
  <si>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</si>
  <si>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</si>
  <si>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</si>
  <si>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</si>
  <si>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</si>
  <si>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</si>
  <si>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</si>
  <si>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</si>
  <si>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</si>
  <si>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</si>
  <si>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</si>
  <si>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</si>
  <si>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</si>
  <si>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</si>
  <si>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</si>
  <si>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</si>
  <si>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</si>
  <si>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</si>
  <si>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</si>
  <si>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</si>
  <si>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</si>
  <si>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</si>
  <si>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</si>
  <si>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</si>
  <si>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</si>
  <si>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</si>
  <si>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</si>
  <si>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</si>
  <si>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</si>
  <si>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</si>
  <si>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</si>
  <si>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</si>
  <si>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</si>
  <si>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</si>
  <si>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</si>
  <si>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</si>
  <si>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</si>
  <si>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</si>
  <si>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</si>
  <si>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</si>
  <si>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</si>
  <si>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</si>
  <si>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</si>
  <si>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</si>
  <si>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</si>
  <si>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</si>
  <si>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</si>
  <si>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</si>
  <si>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</si>
  <si>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</si>
  <si>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</si>
  <si>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</si>
  <si>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</si>
  <si>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</si>
  <si>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</si>
  <si>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</si>
  <si>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</si>
  <si>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</si>
  <si>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</si>
  <si>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</si>
  <si>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</si>
  <si>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</si>
  <si>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</si>
  <si>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</si>
  <si>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</si>
  <si>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</si>
  <si>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</si>
  <si>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</si>
  <si>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</si>
  <si>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</si>
  <si>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</si>
  <si>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</si>
  <si>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</si>
  <si>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</si>
  <si>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</si>
  <si>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</si>
  <si>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</si>
  <si>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</si>
  <si>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</si>
  <si>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</si>
  <si>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</si>
  <si>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</si>
  <si>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</si>
  <si>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</si>
  <si>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</si>
  <si>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</si>
  <si>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</si>
  <si>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</si>
  <si>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</si>
  <si>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</si>
  <si>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</si>
  <si>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</si>
  <si>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</si>
  <si>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</si>
  <si>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</si>
  <si>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</si>
  <si>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</si>
  <si>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</si>
  <si>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</si>
  <si>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</si>
  <si>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</si>
  <si>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</si>
  <si>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</si>
  <si>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</si>
  <si>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</si>
  <si>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</si>
  <si>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</si>
  <si>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</si>
  <si>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</si>
  <si>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</si>
  <si>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</si>
  <si>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</si>
  <si>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</si>
  <si>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</si>
  <si>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</si>
  <si>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</si>
  <si>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</si>
  <si>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</si>
  <si>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</si>
  <si>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</si>
  <si>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</si>
  <si>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</si>
  <si>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</si>
  <si>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</si>
  <si>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</si>
  <si>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</si>
  <si>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</si>
  <si>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</si>
  <si>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</si>
  <si>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</si>
  <si>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</si>
  <si>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</si>
  <si>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</si>
  <si>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</si>
  <si>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</si>
  <si>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</si>
  <si>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</si>
  <si>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</si>
  <si>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</si>
  <si>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</si>
  <si>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</si>
  <si>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</si>
  <si>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</si>
  <si>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</si>
  <si>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</si>
  <si>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</si>
  <si>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</si>
  <si>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</si>
  <si>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</si>
  <si>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</si>
  <si>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</si>
  <si>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</si>
  <si>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</si>
  <si>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</si>
  <si>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</si>
  <si>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</si>
  <si>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</si>
  <si>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</si>
  <si>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</si>
  <si>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</si>
  <si>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</si>
  <si>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</si>
  <si>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</si>
  <si>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</si>
  <si>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</si>
  <si>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</si>
  <si>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</si>
  <si>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</si>
  <si>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</si>
  <si>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</si>
  <si>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</si>
  <si>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</si>
  <si>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</si>
  <si>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</si>
  <si>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</si>
  <si>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</si>
  <si>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</si>
  <si>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</si>
  <si>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</si>
  <si>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</si>
  <si>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</si>
  <si>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</si>
  <si>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</si>
  <si>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</si>
  <si>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</si>
  <si>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</si>
  <si>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</si>
  <si>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</si>
  <si>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</si>
  <si>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</si>
  <si>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</si>
  <si>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</si>
  <si>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</si>
  <si>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</si>
  <si>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</si>
  <si>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</si>
  <si>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</si>
  <si>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</si>
  <si>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</si>
  <si>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</si>
  <si>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</si>
  <si>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</si>
  <si>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</si>
  <si>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</si>
  <si>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</si>
  <si>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</si>
  <si>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</si>
  <si>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</si>
  <si>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</si>
  <si>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</si>
  <si>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</si>
  <si>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</si>
  <si>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</si>
  <si>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</si>
  <si>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</si>
  <si>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</si>
  <si>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</si>
  <si>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</si>
  <si>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</si>
  <si>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</si>
  <si>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</si>
  <si>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</si>
  <si>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</si>
  <si>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</si>
  <si>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</si>
  <si>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</si>
  <si>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</si>
  <si>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</si>
  <si>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</si>
  <si>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</si>
  <si>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</si>
  <si>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</si>
  <si>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</si>
  <si>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</si>
  <si>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</si>
  <si>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</si>
  <si>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</si>
  <si>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</si>
  <si>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</si>
  <si>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</si>
  <si>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</si>
  <si>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</si>
  <si>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</si>
  <si>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</si>
  <si>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</si>
  <si>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</si>
  <si>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</si>
  <si>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</si>
  <si>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</si>
  <si>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</si>
  <si>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</si>
  <si>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</si>
  <si>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</si>
  <si>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</si>
  <si>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</si>
  <si>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</si>
  <si>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</si>
  <si>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</si>
  <si>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</si>
  <si>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</si>
  <si>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</si>
  <si>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</si>
  <si>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</si>
  <si>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</si>
  <si>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</si>
  <si>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</si>
  <si>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</si>
  <si>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</si>
  <si>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</si>
  <si>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</si>
  <si>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</si>
  <si>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</si>
  <si>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</si>
  <si>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</si>
  <si>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</si>
  <si>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</si>
  <si>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</si>
  <si>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</si>
  <si>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</si>
  <si>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</si>
  <si>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</si>
  <si>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</si>
  <si>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</si>
  <si>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</si>
  <si>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</si>
  <si>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</si>
  <si>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</si>
  <si>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</si>
  <si>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</si>
  <si>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</si>
  <si>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</si>
  <si>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</si>
  <si>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</si>
  <si>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</si>
  <si>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</si>
  <si>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</si>
  <si>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</si>
  <si>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</si>
  <si>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</si>
  <si>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</si>
  <si>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</si>
  <si>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</si>
  <si>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</si>
  <si>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</si>
  <si>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</si>
  <si>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</si>
  <si>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</si>
  <si>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</si>
  <si>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</si>
  <si>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</si>
  <si>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</si>
  <si>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</si>
  <si>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</si>
  <si>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</si>
  <si>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</si>
  <si>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</si>
  <si>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</si>
  <si>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</si>
  <si>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</si>
  <si>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</si>
  <si>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</si>
  <si>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</si>
  <si>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</si>
  <si>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</si>
  <si>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</si>
  <si>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</si>
  <si>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</si>
  <si>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</si>
  <si>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</si>
  <si>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</si>
  <si>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</si>
  <si>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</si>
  <si>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</si>
  <si>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</si>
  <si>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</si>
  <si>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</si>
  <si>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</si>
  <si>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</si>
  <si>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</si>
  <si>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</si>
  <si>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</si>
  <si>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</si>
  <si>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</si>
  <si>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</si>
  <si>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</si>
  <si>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</si>
  <si>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</si>
  <si>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</si>
  <si>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</si>
  <si>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</si>
  <si>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</si>
  <si>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</si>
  <si>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</si>
  <si>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</si>
  <si>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</si>
  <si>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</si>
  <si>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</si>
  <si>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</si>
  <si>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</si>
  <si>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</si>
  <si>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</si>
  <si>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</si>
  <si>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</si>
  <si>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</si>
  <si>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</si>
  <si>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</si>
  <si>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</si>
  <si>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</si>
  <si>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</si>
  <si>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</si>
  <si>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</si>
  <si>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</si>
  <si>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</si>
  <si>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</si>
  <si>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</si>
  <si>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</si>
  <si>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</si>
  <si>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</si>
  <si>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</si>
  <si>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</si>
  <si>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</si>
  <si>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</si>
  <si>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</si>
  <si>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</si>
  <si>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</si>
  <si>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</si>
  <si>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</si>
  <si>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</si>
  <si>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</si>
  <si>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</si>
  <si>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</si>
  <si>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</si>
  <si>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</si>
  <si>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</si>
  <si>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</si>
  <si>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</si>
  <si>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</si>
  <si>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</si>
  <si>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</si>
  <si>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</si>
  <si>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</si>
  <si>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</si>
  <si>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</si>
  <si>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</si>
  <si>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</si>
  <si>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</si>
  <si>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</si>
  <si>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</si>
  <si>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</si>
  <si>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</si>
  <si>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</si>
  <si>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</si>
  <si>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</si>
  <si>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</si>
  <si>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</si>
  <si>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31.3.2021.</t>
  </si>
  <si>
    <t>Obveznik: TERRA FIRMA d.d.</t>
  </si>
  <si>
    <t>u razdoblju 1.1.2021. do 31.3.2021.</t>
  </si>
  <si>
    <t>1.1.2021.</t>
  </si>
  <si>
    <t>31.3.2021.</t>
  </si>
  <si>
    <t>01924797</t>
  </si>
  <si>
    <t>HR</t>
  </si>
  <si>
    <t>040211518</t>
  </si>
  <si>
    <t>22198253360</t>
  </si>
  <si>
    <t>74780000O06HVTU7F674</t>
  </si>
  <si>
    <t>3709</t>
  </si>
  <si>
    <t>TERRA FIRMA d.d.</t>
  </si>
  <si>
    <t>Zagreb</t>
  </si>
  <si>
    <t>Budmanijeva 3</t>
  </si>
  <si>
    <t>info@terrafirma.hr</t>
  </si>
  <si>
    <t>www.terrafirma.hr</t>
  </si>
  <si>
    <t>Klijent d.o.o.</t>
  </si>
  <si>
    <t>Braovac Katarina</t>
  </si>
  <si>
    <t>01/8885-199</t>
  </si>
  <si>
    <t>racunovodstvo@klijent.hr</t>
  </si>
  <si>
    <r>
      <t>BILJEŠKE UZ FINANCIJSKE IZVJEŠTAJE - TFI
(koji se sastavljaju za tromjesečna razdoblja)
Naziv izdavatelja:   TERRA FIRMA d.d.                                                                                                                                                                                                                                                                                                                                 Sjedište: Budmanijeva 3, Zagreb 
OIB:  22198253360
Izvještajno razdoblje: 1.1.2021. - 31.3.2021.
Pristup financijskim izvještajima Izadavatelja dostupan je na stranicama: www.terrafirma.hr i www.zse.hr
2. Financijski izvještaj za razdoblje od 1.1.2021. do 31.3.2021. godine sastavljeni su uz primjenu Međunarodnih standarda financijskog izvještavanja, daju cjelovit i istinit prikaz imovine i obveza, računa dobiti i gubitla, financijskog položaja i poslovanja društva Terra Firma d.d. i društva uključenih u konsolidaciju kao cjeline.
3. Terra Firma d.d. nema financijskih obveza, jamstava ili nepredviđenih izdataka koji nisu uključeni u bilancu.
4. 5. PRIHODI OD PRODAJE                                                                                                                                                                                                                                         	                                                          31.3.2020.	         31.3.2021.
Dobit od prodaje nekretnina	                      33.089	              948.423
Prihod od zakupa ulaganja u nekretnine     172.303              146.405
	                                                           205.392           1.094.828                     
5. Društvo nema dugovanja koja dospijevaju nakon više od pet godina
6. Prosječan broj zaposlenih tijekom tekućeg razdoblja: 4
7. Društvo u tekućem razdoblju nije kapitaliziralo trošak plaća.
8. U bilanci nisu priznata rezerviranja za odgođeni porez.</t>
    </r>
    <r>
      <rPr>
        <sz val="10"/>
        <color rgb="FFFF0000"/>
        <rFont val="Arial"/>
        <family val="2"/>
        <charset val="238"/>
      </rPr>
      <t xml:space="preserve">
</t>
    </r>
    <r>
      <rPr>
        <sz val="10"/>
        <rFont val="Arial"/>
        <family val="2"/>
        <charset val="238"/>
      </rPr>
      <t xml:space="preserve">
9. Ovisna društva: Rakalj d.o.o.           - 100% udjela u vlasništvu
                                        Terra Tison d.o.o. - 100% udjela u vlasništvu
                                        Falarica d.o.o.        - 50% udjela u vlasništvu  
                                        Terra West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</si>
</sst>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P17" sqref="P1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452</v>
      </c>
      <c r="F4" s="139"/>
      <c r="G4" s="53" t="s">
        <v>0</v>
      </c>
      <c r="H4" s="138" t="s">
        <v>453</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454</v>
      </c>
      <c r="D11" s="146"/>
      <c r="E11" s="67"/>
      <c r="F11" s="154" t="s">
        <v>334</v>
      </c>
      <c r="G11" s="144"/>
      <c r="H11" s="155" t="s">
        <v>455</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456</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457</v>
      </c>
      <c r="D15" s="146"/>
      <c r="E15" s="163"/>
      <c r="F15" s="164"/>
      <c r="G15" s="73" t="s">
        <v>335</v>
      </c>
      <c r="H15" s="155" t="s">
        <v>458</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459</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460</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461</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462</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463</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464</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343</v>
      </c>
      <c r="D50" s="156"/>
      <c r="E50" s="181" t="s">
        <v>345</v>
      </c>
      <c r="F50" s="182"/>
      <c r="G50" s="160" t="s">
        <v>465</v>
      </c>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466</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467</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468</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3" zoomScale="110" zoomScaleNormal="100" zoomScaleSheetLayoutView="110" workbookViewId="0">
      <selection activeCell="I102" sqref="I10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449</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450</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22831327</v>
      </c>
      <c r="I9" s="23">
        <f>I10+I17+I27+I38+I43</f>
        <v>26823862</v>
      </c>
    </row>
    <row r="10" spans="1:9" ht="12.75" customHeight="1" x14ac:dyDescent="0.2">
      <c r="A10" s="190" t="s">
        <v>5</v>
      </c>
      <c r="B10" s="190"/>
      <c r="C10" s="190"/>
      <c r="D10" s="190"/>
      <c r="E10" s="190"/>
      <c r="F10" s="190"/>
      <c r="G10" s="15">
        <v>3</v>
      </c>
      <c r="H10" s="23">
        <f>H11+H12+H13+H14+H15+H16</f>
        <v>5000</v>
      </c>
      <c r="I10" s="23">
        <f>I11+I12+I13+I14+I15+I16</f>
        <v>3750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5000</v>
      </c>
      <c r="I12" s="22">
        <v>3750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16351973</v>
      </c>
      <c r="I17" s="23">
        <f>I18+I19+I20+I21+I22+I23+I24+I25+I26</f>
        <v>20315088</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12745</v>
      </c>
      <c r="I20" s="22">
        <v>63774</v>
      </c>
    </row>
    <row r="21" spans="1:9" ht="12.75" customHeight="1" x14ac:dyDescent="0.2">
      <c r="A21" s="189" t="s">
        <v>16</v>
      </c>
      <c r="B21" s="189"/>
      <c r="C21" s="189"/>
      <c r="D21" s="189"/>
      <c r="E21" s="189"/>
      <c r="F21" s="189"/>
      <c r="G21" s="14">
        <v>14</v>
      </c>
      <c r="H21" s="22">
        <v>90225</v>
      </c>
      <c r="I21" s="22">
        <v>85714</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16249003</v>
      </c>
      <c r="I26" s="22">
        <v>20165600</v>
      </c>
    </row>
    <row r="27" spans="1:9" ht="12.75" customHeight="1" x14ac:dyDescent="0.2">
      <c r="A27" s="190" t="s">
        <v>22</v>
      </c>
      <c r="B27" s="190"/>
      <c r="C27" s="190"/>
      <c r="D27" s="190"/>
      <c r="E27" s="190"/>
      <c r="F27" s="190"/>
      <c r="G27" s="15">
        <v>20</v>
      </c>
      <c r="H27" s="23">
        <f>SUM(H28:H37)</f>
        <v>6474354</v>
      </c>
      <c r="I27" s="23">
        <f>SUM(I28:I37)</f>
        <v>6505024</v>
      </c>
    </row>
    <row r="28" spans="1:9" ht="12.75" customHeight="1" x14ac:dyDescent="0.2">
      <c r="A28" s="189" t="s">
        <v>23</v>
      </c>
      <c r="B28" s="189"/>
      <c r="C28" s="189"/>
      <c r="D28" s="189"/>
      <c r="E28" s="189"/>
      <c r="F28" s="189"/>
      <c r="G28" s="14">
        <v>21</v>
      </c>
      <c r="H28" s="22">
        <v>6474354</v>
      </c>
      <c r="I28" s="22">
        <v>6505024</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4460737</v>
      </c>
      <c r="I44" s="23">
        <f>I45+I53+I60+I70</f>
        <v>2980179</v>
      </c>
    </row>
    <row r="45" spans="1:9" ht="12.75" customHeight="1" x14ac:dyDescent="0.2">
      <c r="A45" s="190" t="s">
        <v>39</v>
      </c>
      <c r="B45" s="190"/>
      <c r="C45" s="190"/>
      <c r="D45" s="190"/>
      <c r="E45" s="190"/>
      <c r="F45" s="190"/>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290564</v>
      </c>
      <c r="I53" s="23">
        <f>SUM(I54:I59)</f>
        <v>312790</v>
      </c>
    </row>
    <row r="54" spans="1:9" ht="12.75" customHeight="1" x14ac:dyDescent="0.2">
      <c r="A54" s="189" t="s">
        <v>48</v>
      </c>
      <c r="B54" s="189"/>
      <c r="C54" s="189"/>
      <c r="D54" s="189"/>
      <c r="E54" s="189"/>
      <c r="F54" s="189"/>
      <c r="G54" s="14">
        <v>47</v>
      </c>
      <c r="H54" s="22">
        <v>154540</v>
      </c>
      <c r="I54" s="22">
        <v>164184</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117411</v>
      </c>
      <c r="I56" s="22">
        <v>133187</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5179</v>
      </c>
      <c r="I58" s="22">
        <v>15270</v>
      </c>
    </row>
    <row r="59" spans="1:9" ht="12.75" customHeight="1" x14ac:dyDescent="0.2">
      <c r="A59" s="189" t="s">
        <v>53</v>
      </c>
      <c r="B59" s="189"/>
      <c r="C59" s="189"/>
      <c r="D59" s="189"/>
      <c r="E59" s="189"/>
      <c r="F59" s="189"/>
      <c r="G59" s="14">
        <v>52</v>
      </c>
      <c r="H59" s="22">
        <v>13434</v>
      </c>
      <c r="I59" s="22">
        <v>149</v>
      </c>
    </row>
    <row r="60" spans="1:9" ht="12.75" customHeight="1" x14ac:dyDescent="0.2">
      <c r="A60" s="190" t="s">
        <v>54</v>
      </c>
      <c r="B60" s="190"/>
      <c r="C60" s="190"/>
      <c r="D60" s="190"/>
      <c r="E60" s="190"/>
      <c r="F60" s="190"/>
      <c r="G60" s="15">
        <v>53</v>
      </c>
      <c r="H60" s="23">
        <f>SUM(H61:H69)</f>
        <v>3154419</v>
      </c>
      <c r="I60" s="23">
        <f>SUM(I61:I69)</f>
        <v>2524176</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1428478</v>
      </c>
      <c r="I63" s="22">
        <v>2044678</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50416</v>
      </c>
      <c r="I68" s="22">
        <v>49416</v>
      </c>
    </row>
    <row r="69" spans="1:9" ht="12.75" customHeight="1" x14ac:dyDescent="0.2">
      <c r="A69" s="189" t="s">
        <v>56</v>
      </c>
      <c r="B69" s="189"/>
      <c r="C69" s="189"/>
      <c r="D69" s="189"/>
      <c r="E69" s="189"/>
      <c r="F69" s="189"/>
      <c r="G69" s="14">
        <v>62</v>
      </c>
      <c r="H69" s="22">
        <v>1675525</v>
      </c>
      <c r="I69" s="22">
        <v>430082</v>
      </c>
    </row>
    <row r="70" spans="1:9" ht="12.75" customHeight="1" x14ac:dyDescent="0.2">
      <c r="A70" s="189" t="s">
        <v>57</v>
      </c>
      <c r="B70" s="189"/>
      <c r="C70" s="189"/>
      <c r="D70" s="189"/>
      <c r="E70" s="189"/>
      <c r="F70" s="189"/>
      <c r="G70" s="14">
        <v>63</v>
      </c>
      <c r="H70" s="22">
        <v>1015754</v>
      </c>
      <c r="I70" s="22">
        <v>143213</v>
      </c>
    </row>
    <row r="71" spans="1:9" ht="12.75" customHeight="1" x14ac:dyDescent="0.2">
      <c r="A71" s="206" t="s">
        <v>58</v>
      </c>
      <c r="B71" s="206"/>
      <c r="C71" s="206"/>
      <c r="D71" s="206"/>
      <c r="E71" s="206"/>
      <c r="F71" s="206"/>
      <c r="G71" s="14">
        <v>64</v>
      </c>
      <c r="H71" s="22">
        <v>1299</v>
      </c>
      <c r="I71" s="22">
        <v>974</v>
      </c>
    </row>
    <row r="72" spans="1:9" ht="12.75" customHeight="1" x14ac:dyDescent="0.2">
      <c r="A72" s="191" t="s">
        <v>305</v>
      </c>
      <c r="B72" s="191"/>
      <c r="C72" s="191"/>
      <c r="D72" s="191"/>
      <c r="E72" s="191"/>
      <c r="F72" s="191"/>
      <c r="G72" s="15">
        <v>65</v>
      </c>
      <c r="H72" s="23">
        <f>H8+H9+H44+H71</f>
        <v>27293363</v>
      </c>
      <c r="I72" s="23">
        <f>I8+I9+I44+I71</f>
        <v>29805015</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20565661</v>
      </c>
      <c r="I75" s="102">
        <f>I76+I77+I78+I84+I85+I91+I94+I97</f>
        <v>21367004</v>
      </c>
    </row>
    <row r="76" spans="1:9" ht="12.75" customHeight="1" x14ac:dyDescent="0.2">
      <c r="A76" s="189" t="s">
        <v>61</v>
      </c>
      <c r="B76" s="189"/>
      <c r="C76" s="189"/>
      <c r="D76" s="189"/>
      <c r="E76" s="189"/>
      <c r="F76" s="189"/>
      <c r="G76" s="14">
        <v>68</v>
      </c>
      <c r="H76" s="22">
        <v>3600000</v>
      </c>
      <c r="I76" s="22">
        <v>3600000</v>
      </c>
    </row>
    <row r="77" spans="1:9" ht="12.75" customHeight="1" x14ac:dyDescent="0.2">
      <c r="A77" s="189" t="s">
        <v>62</v>
      </c>
      <c r="B77" s="189"/>
      <c r="C77" s="189"/>
      <c r="D77" s="189"/>
      <c r="E77" s="189"/>
      <c r="F77" s="189"/>
      <c r="G77" s="14">
        <v>69</v>
      </c>
      <c r="H77" s="22">
        <v>21363005</v>
      </c>
      <c r="I77" s="22">
        <v>21363005</v>
      </c>
    </row>
    <row r="78" spans="1:9" ht="12.75" customHeight="1" x14ac:dyDescent="0.2">
      <c r="A78" s="190" t="s">
        <v>63</v>
      </c>
      <c r="B78" s="190"/>
      <c r="C78" s="190"/>
      <c r="D78" s="190"/>
      <c r="E78" s="190"/>
      <c r="F78" s="190"/>
      <c r="G78" s="15">
        <v>70</v>
      </c>
      <c r="H78" s="102">
        <f>SUM(H79:H83)</f>
        <v>180000</v>
      </c>
      <c r="I78" s="102">
        <f>SUM(I79:I83)</f>
        <v>180000</v>
      </c>
    </row>
    <row r="79" spans="1:9" ht="12.75" customHeight="1" x14ac:dyDescent="0.2">
      <c r="A79" s="189" t="s">
        <v>64</v>
      </c>
      <c r="B79" s="189"/>
      <c r="C79" s="189"/>
      <c r="D79" s="189"/>
      <c r="E79" s="189"/>
      <c r="F79" s="189"/>
      <c r="G79" s="14">
        <v>71</v>
      </c>
      <c r="H79" s="22">
        <v>180000</v>
      </c>
      <c r="I79" s="22">
        <v>180000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-4289681</v>
      </c>
      <c r="I84" s="96">
        <v>-4259011</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-1120948</v>
      </c>
      <c r="I91" s="23">
        <f>I92-I93</f>
        <v>-287663</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1120948</v>
      </c>
      <c r="I93" s="22">
        <v>287663</v>
      </c>
    </row>
    <row r="94" spans="1:9" ht="12.75" customHeight="1" x14ac:dyDescent="0.2">
      <c r="A94" s="190" t="s">
        <v>354</v>
      </c>
      <c r="B94" s="190"/>
      <c r="C94" s="190"/>
      <c r="D94" s="190"/>
      <c r="E94" s="190"/>
      <c r="F94" s="190"/>
      <c r="G94" s="15">
        <v>86</v>
      </c>
      <c r="H94" s="23">
        <f>H95-H96</f>
        <v>833285</v>
      </c>
      <c r="I94" s="23">
        <f>I95-I96</f>
        <v>770673</v>
      </c>
    </row>
    <row r="95" spans="1:9" ht="12.75" customHeight="1" x14ac:dyDescent="0.2">
      <c r="A95" s="189" t="s">
        <v>74</v>
      </c>
      <c r="B95" s="189"/>
      <c r="C95" s="189"/>
      <c r="D95" s="189"/>
      <c r="E95" s="189"/>
      <c r="F95" s="189"/>
      <c r="G95" s="14">
        <v>87</v>
      </c>
      <c r="H95" s="22">
        <v>833285</v>
      </c>
      <c r="I95" s="22">
        <v>770673</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0</v>
      </c>
      <c r="I105" s="23">
        <f>SUM(I106:I116)</f>
        <v>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f>I110-I111</f>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6727702</v>
      </c>
      <c r="I117" s="23">
        <f>SUM(I118:I131)</f>
        <v>8438011</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6413252</v>
      </c>
      <c r="I122" s="22">
        <v>7580427</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250008</v>
      </c>
      <c r="I124" s="22">
        <v>270586</v>
      </c>
    </row>
    <row r="125" spans="1:9" ht="12.75" customHeight="1" x14ac:dyDescent="0.2">
      <c r="A125" s="189" t="s">
        <v>90</v>
      </c>
      <c r="B125" s="189"/>
      <c r="C125" s="189"/>
      <c r="D125" s="189"/>
      <c r="E125" s="189"/>
      <c r="F125" s="189"/>
      <c r="G125" s="14">
        <v>117</v>
      </c>
      <c r="H125" s="22">
        <v>27997</v>
      </c>
      <c r="I125" s="22">
        <v>209896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35701</v>
      </c>
      <c r="I127" s="22">
        <v>29880</v>
      </c>
    </row>
    <row r="128" spans="1:9" x14ac:dyDescent="0.2">
      <c r="A128" s="189" t="s">
        <v>95</v>
      </c>
      <c r="B128" s="189"/>
      <c r="C128" s="189"/>
      <c r="D128" s="189"/>
      <c r="E128" s="189"/>
      <c r="F128" s="189"/>
      <c r="G128" s="14">
        <v>120</v>
      </c>
      <c r="H128" s="22">
        <v>0</v>
      </c>
      <c r="I128" s="22">
        <v>347222</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744</v>
      </c>
      <c r="I131" s="22">
        <v>0</v>
      </c>
    </row>
    <row r="132" spans="1:9" ht="22.15" customHeight="1" x14ac:dyDescent="0.2">
      <c r="A132" s="206" t="s">
        <v>99</v>
      </c>
      <c r="B132" s="206"/>
      <c r="C132" s="206"/>
      <c r="D132" s="206"/>
      <c r="E132" s="206"/>
      <c r="F132" s="206"/>
      <c r="G132" s="14">
        <v>124</v>
      </c>
      <c r="H132" s="22">
        <v>0</v>
      </c>
      <c r="I132" s="22">
        <v>0</v>
      </c>
    </row>
    <row r="133" spans="1:9" ht="12.75" customHeight="1" x14ac:dyDescent="0.2">
      <c r="A133" s="191" t="s">
        <v>359</v>
      </c>
      <c r="B133" s="191"/>
      <c r="C133" s="191"/>
      <c r="D133" s="191"/>
      <c r="E133" s="191"/>
      <c r="F133" s="191"/>
      <c r="G133" s="15">
        <v>125</v>
      </c>
      <c r="H133" s="23">
        <f>H75+H98+H105+H117+H132</f>
        <v>27293363</v>
      </c>
      <c r="I133" s="23">
        <f>I75+I98+I105+I117+I132</f>
        <v>29805015</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9" zoomScale="90" zoomScaleNormal="90" zoomScaleSheetLayoutView="110" workbookViewId="0">
      <selection activeCell="J89" sqref="J8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451</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450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218510</v>
      </c>
      <c r="I8" s="107">
        <f>SUM(I9:I13)</f>
        <v>218510</v>
      </c>
      <c r="J8" s="107">
        <f>SUM(J9:J13)</f>
        <v>1127052</v>
      </c>
      <c r="K8" s="107">
        <f>SUM(K9:K13)</f>
        <v>1127052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205392</v>
      </c>
      <c r="I10" s="108">
        <v>205392</v>
      </c>
      <c r="J10" s="108">
        <v>1094828</v>
      </c>
      <c r="K10" s="108">
        <v>1094828</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13118</v>
      </c>
      <c r="I13" s="108">
        <v>13118</v>
      </c>
      <c r="J13" s="108">
        <v>32224</v>
      </c>
      <c r="K13" s="108">
        <v>32224</v>
      </c>
    </row>
    <row r="14" spans="1:11" ht="12.75" customHeight="1" x14ac:dyDescent="0.2">
      <c r="A14" s="224" t="s">
        <v>361</v>
      </c>
      <c r="B14" s="224"/>
      <c r="C14" s="224"/>
      <c r="D14" s="224"/>
      <c r="E14" s="224"/>
      <c r="F14" s="224"/>
      <c r="G14" s="15">
        <v>7</v>
      </c>
      <c r="H14" s="107">
        <f>H15+H16+H20+H24+H25+H26+H29+H36</f>
        <v>205481</v>
      </c>
      <c r="I14" s="107">
        <f>I15+I16+I20+I24+I25+I26+I29+I36</f>
        <v>205481</v>
      </c>
      <c r="J14" s="107">
        <f>J15+J16+J20+J24+J25+J26+J29+J36</f>
        <v>305088</v>
      </c>
      <c r="K14" s="107">
        <f>K15+K16+K20+K24+K25+K26+K29+K36</f>
        <v>305088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132736</v>
      </c>
      <c r="I16" s="107">
        <f>SUM(I17:I19)</f>
        <v>132736</v>
      </c>
      <c r="J16" s="107">
        <f>SUM(J17:J19)</f>
        <v>193704</v>
      </c>
      <c r="K16" s="107">
        <f>SUM(K17:K19)</f>
        <v>193704</v>
      </c>
    </row>
    <row r="17" spans="1:11" ht="12.75" customHeight="1" x14ac:dyDescent="0.2">
      <c r="A17" s="225" t="s">
        <v>120</v>
      </c>
      <c r="B17" s="225"/>
      <c r="C17" s="225"/>
      <c r="D17" s="225"/>
      <c r="E17" s="225"/>
      <c r="F17" s="225"/>
      <c r="G17" s="14">
        <v>10</v>
      </c>
      <c r="H17" s="108">
        <v>25653</v>
      </c>
      <c r="I17" s="108">
        <v>25653</v>
      </c>
      <c r="J17" s="108">
        <v>91546</v>
      </c>
      <c r="K17" s="108">
        <v>91546</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107083</v>
      </c>
      <c r="I19" s="108">
        <v>107083</v>
      </c>
      <c r="J19" s="108">
        <v>102158</v>
      </c>
      <c r="K19" s="108">
        <v>102158</v>
      </c>
    </row>
    <row r="20" spans="1:11" ht="12.75" customHeight="1" x14ac:dyDescent="0.2">
      <c r="A20" s="190" t="s">
        <v>442</v>
      </c>
      <c r="B20" s="190"/>
      <c r="C20" s="190"/>
      <c r="D20" s="190"/>
      <c r="E20" s="190"/>
      <c r="F20" s="190"/>
      <c r="G20" s="15">
        <v>13</v>
      </c>
      <c r="H20" s="107">
        <f>SUM(H21:H23)</f>
        <v>52894</v>
      </c>
      <c r="I20" s="107">
        <f>SUM(I21:I23)</f>
        <v>52894</v>
      </c>
      <c r="J20" s="107">
        <f>SUM(J21:J23)</f>
        <v>96939</v>
      </c>
      <c r="K20" s="107">
        <f>SUM(K21:K23)</f>
        <v>96939</v>
      </c>
    </row>
    <row r="21" spans="1:11" ht="12.75" customHeight="1" x14ac:dyDescent="0.2">
      <c r="A21" s="225" t="s">
        <v>105</v>
      </c>
      <c r="B21" s="225"/>
      <c r="C21" s="225"/>
      <c r="D21" s="225"/>
      <c r="E21" s="225"/>
      <c r="F21" s="225"/>
      <c r="G21" s="14">
        <v>14</v>
      </c>
      <c r="H21" s="108">
        <v>37880</v>
      </c>
      <c r="I21" s="108">
        <v>37880</v>
      </c>
      <c r="J21" s="108">
        <v>71788</v>
      </c>
      <c r="K21" s="108">
        <v>71788</v>
      </c>
    </row>
    <row r="22" spans="1:11" ht="12.75" customHeight="1" x14ac:dyDescent="0.2">
      <c r="A22" s="225" t="s">
        <v>106</v>
      </c>
      <c r="B22" s="225"/>
      <c r="C22" s="225"/>
      <c r="D22" s="225"/>
      <c r="E22" s="225"/>
      <c r="F22" s="225"/>
      <c r="G22" s="14">
        <v>15</v>
      </c>
      <c r="H22" s="108">
        <v>9470</v>
      </c>
      <c r="I22" s="108">
        <v>9470</v>
      </c>
      <c r="J22" s="108">
        <v>15631</v>
      </c>
      <c r="K22" s="108">
        <v>15631</v>
      </c>
    </row>
    <row r="23" spans="1:11" ht="12.75" customHeight="1" x14ac:dyDescent="0.2">
      <c r="A23" s="225" t="s">
        <v>107</v>
      </c>
      <c r="B23" s="225"/>
      <c r="C23" s="225"/>
      <c r="D23" s="225"/>
      <c r="E23" s="225"/>
      <c r="F23" s="225"/>
      <c r="G23" s="14">
        <v>16</v>
      </c>
      <c r="H23" s="108">
        <v>5544</v>
      </c>
      <c r="I23" s="108">
        <v>5544</v>
      </c>
      <c r="J23" s="108">
        <v>9520</v>
      </c>
      <c r="K23" s="108">
        <v>9520</v>
      </c>
    </row>
    <row r="24" spans="1:11" ht="12.75" customHeight="1" x14ac:dyDescent="0.2">
      <c r="A24" s="189" t="s">
        <v>108</v>
      </c>
      <c r="B24" s="189"/>
      <c r="C24" s="189"/>
      <c r="D24" s="189"/>
      <c r="E24" s="189"/>
      <c r="F24" s="189"/>
      <c r="G24" s="14">
        <v>17</v>
      </c>
      <c r="H24" s="108">
        <v>4965</v>
      </c>
      <c r="I24" s="108">
        <v>4965</v>
      </c>
      <c r="J24" s="108">
        <v>8154</v>
      </c>
      <c r="K24" s="108">
        <v>8154</v>
      </c>
    </row>
    <row r="25" spans="1:11" ht="12.75" customHeight="1" x14ac:dyDescent="0.2">
      <c r="A25" s="189" t="s">
        <v>109</v>
      </c>
      <c r="B25" s="189"/>
      <c r="C25" s="189"/>
      <c r="D25" s="189"/>
      <c r="E25" s="189"/>
      <c r="F25" s="189"/>
      <c r="G25" s="14">
        <v>18</v>
      </c>
      <c r="H25" s="108">
        <v>14886</v>
      </c>
      <c r="I25" s="108">
        <v>14886</v>
      </c>
      <c r="J25" s="108">
        <v>6291</v>
      </c>
      <c r="K25" s="108">
        <v>6291</v>
      </c>
    </row>
    <row r="26" spans="1:11" ht="12.75" customHeight="1" x14ac:dyDescent="0.2">
      <c r="A26" s="190" t="s">
        <v>443</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12163</v>
      </c>
      <c r="I37" s="107">
        <f>SUM(I38:I47)</f>
        <v>12163</v>
      </c>
      <c r="J37" s="107">
        <f>SUM(J38:J47)</f>
        <v>16127</v>
      </c>
      <c r="K37" s="107">
        <f>SUM(K38:K47)</f>
        <v>16127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12028</v>
      </c>
      <c r="I41" s="108">
        <v>12028</v>
      </c>
      <c r="J41" s="108">
        <v>14698</v>
      </c>
      <c r="K41" s="108">
        <v>14698</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135</v>
      </c>
      <c r="I44" s="108">
        <v>135</v>
      </c>
      <c r="J44" s="108">
        <v>0</v>
      </c>
      <c r="K44" s="108">
        <v>0</v>
      </c>
    </row>
    <row r="45" spans="1:11" ht="12.75" customHeight="1" x14ac:dyDescent="0.2">
      <c r="A45" s="189" t="s">
        <v>138</v>
      </c>
      <c r="B45" s="189"/>
      <c r="C45" s="189"/>
      <c r="D45" s="189"/>
      <c r="E45" s="189"/>
      <c r="F45" s="189"/>
      <c r="G45" s="14">
        <v>38</v>
      </c>
      <c r="H45" s="108">
        <v>0</v>
      </c>
      <c r="I45" s="108">
        <v>0</v>
      </c>
      <c r="J45" s="108">
        <v>616</v>
      </c>
      <c r="K45" s="108">
        <v>616</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813</v>
      </c>
      <c r="K47" s="108">
        <v>813</v>
      </c>
    </row>
    <row r="48" spans="1:11" ht="12.75" customHeight="1" x14ac:dyDescent="0.2">
      <c r="A48" s="224" t="s">
        <v>363</v>
      </c>
      <c r="B48" s="224"/>
      <c r="C48" s="224"/>
      <c r="D48" s="224"/>
      <c r="E48" s="224"/>
      <c r="F48" s="224"/>
      <c r="G48" s="15">
        <v>41</v>
      </c>
      <c r="H48" s="107">
        <f>SUM(H49:H55)</f>
        <v>67500</v>
      </c>
      <c r="I48" s="107">
        <f>SUM(I49:I55)</f>
        <v>67500</v>
      </c>
      <c r="J48" s="107">
        <f>SUM(J49:J55)</f>
        <v>67418</v>
      </c>
      <c r="K48" s="107">
        <f>SUM(K49:K55)</f>
        <v>67418</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67500</v>
      </c>
      <c r="I51" s="108">
        <v>67500</v>
      </c>
      <c r="J51" s="108">
        <v>66575</v>
      </c>
      <c r="K51" s="108">
        <v>66575</v>
      </c>
    </row>
    <row r="52" spans="1:11" ht="12.75" customHeight="1" x14ac:dyDescent="0.2">
      <c r="A52" s="228" t="s">
        <v>144</v>
      </c>
      <c r="B52" s="228"/>
      <c r="C52" s="228"/>
      <c r="D52" s="228"/>
      <c r="E52" s="228"/>
      <c r="F52" s="228"/>
      <c r="G52" s="14">
        <v>45</v>
      </c>
      <c r="H52" s="108">
        <v>0</v>
      </c>
      <c r="I52" s="108">
        <v>0</v>
      </c>
      <c r="J52" s="108">
        <v>816</v>
      </c>
      <c r="K52" s="108">
        <v>816</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27</v>
      </c>
      <c r="K55" s="108">
        <v>27</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230673</v>
      </c>
      <c r="I60" s="107">
        <f t="shared" ref="I60:K60" si="0">I8+I37+I56+I57</f>
        <v>230673</v>
      </c>
      <c r="J60" s="107">
        <f t="shared" si="0"/>
        <v>1143179</v>
      </c>
      <c r="K60" s="107">
        <f t="shared" si="0"/>
        <v>1143179</v>
      </c>
    </row>
    <row r="61" spans="1:11" ht="12.75" customHeight="1" x14ac:dyDescent="0.2">
      <c r="A61" s="224" t="s">
        <v>365</v>
      </c>
      <c r="B61" s="224"/>
      <c r="C61" s="224"/>
      <c r="D61" s="224"/>
      <c r="E61" s="224"/>
      <c r="F61" s="224"/>
      <c r="G61" s="15">
        <v>54</v>
      </c>
      <c r="H61" s="107">
        <f>H14+H48+H58+H59</f>
        <v>272981</v>
      </c>
      <c r="I61" s="107">
        <f t="shared" ref="I61:K61" si="1">I14+I48+I58+I59</f>
        <v>272981</v>
      </c>
      <c r="J61" s="107">
        <f t="shared" si="1"/>
        <v>372506</v>
      </c>
      <c r="K61" s="107">
        <f t="shared" si="1"/>
        <v>372506</v>
      </c>
    </row>
    <row r="62" spans="1:11" ht="12.75" customHeight="1" x14ac:dyDescent="0.2">
      <c r="A62" s="224" t="s">
        <v>366</v>
      </c>
      <c r="B62" s="224"/>
      <c r="C62" s="224"/>
      <c r="D62" s="224"/>
      <c r="E62" s="224"/>
      <c r="F62" s="224"/>
      <c r="G62" s="15">
        <v>55</v>
      </c>
      <c r="H62" s="107">
        <f>H60-H61</f>
        <v>-42308</v>
      </c>
      <c r="I62" s="107">
        <f t="shared" ref="I62:K62" si="2">I60-I61</f>
        <v>-42308</v>
      </c>
      <c r="J62" s="107">
        <f t="shared" si="2"/>
        <v>770673</v>
      </c>
      <c r="K62" s="107">
        <f t="shared" si="2"/>
        <v>770673</v>
      </c>
    </row>
    <row r="63" spans="1:11" ht="12.75" customHeight="1" x14ac:dyDescent="0.2">
      <c r="A63" s="229" t="s">
        <v>367</v>
      </c>
      <c r="B63" s="229"/>
      <c r="C63" s="229"/>
      <c r="D63" s="229"/>
      <c r="E63" s="229"/>
      <c r="F63" s="229"/>
      <c r="G63" s="15">
        <v>56</v>
      </c>
      <c r="H63" s="107">
        <f>+IF((H60-H61)&gt;0,(H60-H61),0)</f>
        <v>0</v>
      </c>
      <c r="I63" s="107">
        <f t="shared" ref="I63:K63" si="3">+IF((I60-I61)&gt;0,(I60-I61),0)</f>
        <v>0</v>
      </c>
      <c r="J63" s="107">
        <f t="shared" si="3"/>
        <v>770673</v>
      </c>
      <c r="K63" s="107">
        <f t="shared" si="3"/>
        <v>770673</v>
      </c>
    </row>
    <row r="64" spans="1:11" ht="12.75" customHeight="1" x14ac:dyDescent="0.2">
      <c r="A64" s="229" t="s">
        <v>368</v>
      </c>
      <c r="B64" s="229"/>
      <c r="C64" s="229"/>
      <c r="D64" s="229"/>
      <c r="E64" s="229"/>
      <c r="F64" s="229"/>
      <c r="G64" s="15">
        <v>57</v>
      </c>
      <c r="H64" s="107">
        <f>+IF((H60-H61)&lt;0,(H60-H61),0)</f>
        <v>-42308</v>
      </c>
      <c r="I64" s="107">
        <f t="shared" ref="I64:K64" si="4">+IF((I60-I61)&lt;0,(I60-I61),0)</f>
        <v>-42308</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-42308</v>
      </c>
      <c r="I66" s="107">
        <f t="shared" ref="I66:K66" si="5">I62-I65</f>
        <v>-42308</v>
      </c>
      <c r="J66" s="107">
        <f t="shared" si="5"/>
        <v>770673</v>
      </c>
      <c r="K66" s="107">
        <f t="shared" si="5"/>
        <v>770673</v>
      </c>
    </row>
    <row r="67" spans="1:11" ht="12.75" customHeight="1" x14ac:dyDescent="0.2">
      <c r="A67" s="229" t="s">
        <v>370</v>
      </c>
      <c r="B67" s="229"/>
      <c r="C67" s="229"/>
      <c r="D67" s="229"/>
      <c r="E67" s="229"/>
      <c r="F67" s="229"/>
      <c r="G67" s="15">
        <v>60</v>
      </c>
      <c r="H67" s="107">
        <f>+IF((H62-H65)&gt;0,(H62-H65),0)</f>
        <v>0</v>
      </c>
      <c r="I67" s="107">
        <f t="shared" ref="I67:K67" si="6">+IF((I62-I65)&gt;0,(I62-I65),0)</f>
        <v>0</v>
      </c>
      <c r="J67" s="107">
        <f t="shared" si="6"/>
        <v>770673</v>
      </c>
      <c r="K67" s="107">
        <f t="shared" si="6"/>
        <v>770673</v>
      </c>
    </row>
    <row r="68" spans="1:11" ht="12.75" customHeight="1" x14ac:dyDescent="0.2">
      <c r="A68" s="229" t="s">
        <v>371</v>
      </c>
      <c r="B68" s="229"/>
      <c r="C68" s="229"/>
      <c r="D68" s="229"/>
      <c r="E68" s="229"/>
      <c r="F68" s="229"/>
      <c r="G68" s="15">
        <v>61</v>
      </c>
      <c r="H68" s="107">
        <f>+IF((H62-H65)&lt;0,(H62-H65),0)</f>
        <v>-42308</v>
      </c>
      <c r="I68" s="107">
        <f t="shared" ref="I68:K68" si="7">+IF((I62-I65)&lt;0,(I62-I65),0)</f>
        <v>-42308</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770673</v>
      </c>
      <c r="K89" s="111">
        <v>770673</v>
      </c>
    </row>
    <row r="90" spans="1:11" ht="24" customHeight="1" x14ac:dyDescent="0.2">
      <c r="A90" s="191" t="s">
        <v>438</v>
      </c>
      <c r="B90" s="191"/>
      <c r="C90" s="191"/>
      <c r="D90" s="191"/>
      <c r="E90" s="191"/>
      <c r="F90" s="191"/>
      <c r="G90" s="15">
        <v>79</v>
      </c>
      <c r="H90" s="128">
        <f>H91+H98</f>
        <v>32866</v>
      </c>
      <c r="I90" s="128">
        <f>I91+I98</f>
        <v>32866</v>
      </c>
      <c r="J90" s="128">
        <f t="shared" ref="J90:K90" si="8">J91+J98</f>
        <v>30670</v>
      </c>
      <c r="K90" s="128">
        <f t="shared" si="8"/>
        <v>30670</v>
      </c>
    </row>
    <row r="91" spans="1:11" ht="24" customHeight="1" x14ac:dyDescent="0.2">
      <c r="A91" s="239" t="s">
        <v>445</v>
      </c>
      <c r="B91" s="239"/>
      <c r="C91" s="239"/>
      <c r="D91" s="239"/>
      <c r="E91" s="239"/>
      <c r="F91" s="239"/>
      <c r="G91" s="15">
        <v>80</v>
      </c>
      <c r="H91" s="128">
        <f>SUM(H92:H96)</f>
        <v>32866</v>
      </c>
      <c r="I91" s="128">
        <f>SUM(I92:I96)</f>
        <v>32866</v>
      </c>
      <c r="J91" s="128">
        <f t="shared" ref="J91:K91" si="9">SUM(J92:J96)</f>
        <v>30670</v>
      </c>
      <c r="K91" s="128">
        <f t="shared" si="9"/>
        <v>30670</v>
      </c>
    </row>
    <row r="92" spans="1:11" ht="25.5" customHeight="1" x14ac:dyDescent="0.2">
      <c r="A92" s="228" t="s">
        <v>383</v>
      </c>
      <c r="B92" s="228"/>
      <c r="C92" s="228"/>
      <c r="D92" s="228"/>
      <c r="E92" s="228"/>
      <c r="F92" s="228"/>
      <c r="G92" s="15">
        <v>81</v>
      </c>
      <c r="H92" s="111">
        <v>32866</v>
      </c>
      <c r="I92" s="111">
        <v>32866</v>
      </c>
      <c r="J92" s="111">
        <v>30670</v>
      </c>
      <c r="K92" s="111">
        <v>30670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32866</v>
      </c>
      <c r="I108" s="128">
        <f>I91+I98-I107-I97</f>
        <v>32866</v>
      </c>
      <c r="J108" s="128">
        <f t="shared" ref="J108:K108" si="11">J91+J98-J107-J97</f>
        <v>30670</v>
      </c>
      <c r="K108" s="128">
        <f t="shared" si="11"/>
        <v>30670</v>
      </c>
    </row>
    <row r="109" spans="1:11" ht="12.75" customHeight="1" x14ac:dyDescent="0.2">
      <c r="A109" s="191" t="s">
        <v>394</v>
      </c>
      <c r="B109" s="191"/>
      <c r="C109" s="191"/>
      <c r="D109" s="191"/>
      <c r="E109" s="191"/>
      <c r="F109" s="191"/>
      <c r="G109" s="15">
        <v>98</v>
      </c>
      <c r="H109" s="110">
        <f>H89+H108</f>
        <v>32866</v>
      </c>
      <c r="I109" s="110">
        <f>I89+I108</f>
        <v>32866</v>
      </c>
      <c r="J109" s="110">
        <f t="shared" ref="J109:K109" si="12">J89+J108</f>
        <v>801343</v>
      </c>
      <c r="K109" s="110">
        <f t="shared" si="12"/>
        <v>801343</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9" zoomScale="90" zoomScaleNormal="100" zoomScaleSheetLayoutView="90" workbookViewId="0">
      <selection activeCell="I38" sqref="I3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451</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450</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-42308</v>
      </c>
      <c r="I8" s="123">
        <v>770673</v>
      </c>
    </row>
    <row r="9" spans="1:9" ht="12.75" customHeight="1" x14ac:dyDescent="0.2">
      <c r="A9" s="248" t="s">
        <v>171</v>
      </c>
      <c r="B9" s="248"/>
      <c r="C9" s="248"/>
      <c r="D9" s="248"/>
      <c r="E9" s="248"/>
      <c r="F9" s="248"/>
      <c r="G9" s="124">
        <v>2</v>
      </c>
      <c r="H9" s="125">
        <f>H10+H11+H12+H13+H14+H15+H16+H17</f>
        <v>58609</v>
      </c>
      <c r="I9" s="125">
        <f>I10+I11+I12+I13+I14+I15+I16+I17</f>
        <v>-852982</v>
      </c>
    </row>
    <row r="10" spans="1:9" ht="12.75" customHeight="1" x14ac:dyDescent="0.2">
      <c r="A10" s="225" t="s">
        <v>172</v>
      </c>
      <c r="B10" s="225"/>
      <c r="C10" s="225"/>
      <c r="D10" s="225"/>
      <c r="E10" s="225"/>
      <c r="F10" s="225"/>
      <c r="G10" s="122">
        <v>3</v>
      </c>
      <c r="H10" s="123">
        <v>4965</v>
      </c>
      <c r="I10" s="123">
        <v>8154</v>
      </c>
    </row>
    <row r="11" spans="1:9" ht="22.15" customHeight="1" x14ac:dyDescent="0.2">
      <c r="A11" s="225" t="s">
        <v>173</v>
      </c>
      <c r="B11" s="225"/>
      <c r="C11" s="225"/>
      <c r="D11" s="225"/>
      <c r="E11" s="225"/>
      <c r="F11" s="225"/>
      <c r="G11" s="122">
        <v>4</v>
      </c>
      <c r="H11" s="123">
        <v>-33089</v>
      </c>
      <c r="I11" s="123">
        <v>-948424</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86733</v>
      </c>
      <c r="I14" s="123">
        <v>87288</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16301</v>
      </c>
      <c r="I18" s="125">
        <f>I8+I9</f>
        <v>-82309</v>
      </c>
    </row>
    <row r="19" spans="1:9" ht="12.75" customHeight="1" x14ac:dyDescent="0.2">
      <c r="A19" s="248" t="s">
        <v>180</v>
      </c>
      <c r="B19" s="248"/>
      <c r="C19" s="248"/>
      <c r="D19" s="248"/>
      <c r="E19" s="248"/>
      <c r="F19" s="248"/>
      <c r="G19" s="124">
        <v>12</v>
      </c>
      <c r="H19" s="125">
        <f>H20+H21+H22+H23</f>
        <v>-358477</v>
      </c>
      <c r="I19" s="125">
        <f>I20+I21+I22+I23</f>
        <v>520908</v>
      </c>
    </row>
    <row r="20" spans="1:9" ht="12.75" customHeight="1" x14ac:dyDescent="0.2">
      <c r="A20" s="225" t="s">
        <v>181</v>
      </c>
      <c r="B20" s="225"/>
      <c r="C20" s="225"/>
      <c r="D20" s="225"/>
      <c r="E20" s="225"/>
      <c r="F20" s="225"/>
      <c r="G20" s="122">
        <v>13</v>
      </c>
      <c r="H20" s="123">
        <v>12268</v>
      </c>
      <c r="I20" s="123">
        <v>543134</v>
      </c>
    </row>
    <row r="21" spans="1:9" ht="12.75" customHeight="1" x14ac:dyDescent="0.2">
      <c r="A21" s="225" t="s">
        <v>182</v>
      </c>
      <c r="B21" s="225"/>
      <c r="C21" s="225"/>
      <c r="D21" s="225"/>
      <c r="E21" s="225"/>
      <c r="F21" s="225"/>
      <c r="G21" s="122">
        <v>14</v>
      </c>
      <c r="H21" s="123">
        <v>-370745</v>
      </c>
      <c r="I21" s="123">
        <v>-22226</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-342176</v>
      </c>
      <c r="I24" s="125">
        <f>I18+I19</f>
        <v>438599</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-342176</v>
      </c>
      <c r="I27" s="125">
        <f>I24+I25+I26</f>
        <v>438599</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48900</v>
      </c>
      <c r="I29" s="126">
        <v>2867505</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1001320</v>
      </c>
      <c r="I34" s="126">
        <v>1246731</v>
      </c>
    </row>
    <row r="35" spans="1:9" ht="26.45" customHeight="1" x14ac:dyDescent="0.2">
      <c r="A35" s="247" t="s">
        <v>196</v>
      </c>
      <c r="B35" s="247"/>
      <c r="C35" s="247"/>
      <c r="D35" s="247"/>
      <c r="E35" s="247"/>
      <c r="F35" s="247"/>
      <c r="G35" s="124">
        <v>27</v>
      </c>
      <c r="H35" s="127">
        <f>H29+H30+H31+H32+H33+H34</f>
        <v>1050220</v>
      </c>
      <c r="I35" s="127">
        <f>I29+I30+I31+I32+I33+I34</f>
        <v>4114236</v>
      </c>
    </row>
    <row r="36" spans="1:9" ht="22.9" customHeight="1" x14ac:dyDescent="0.2">
      <c r="A36" s="189" t="s">
        <v>197</v>
      </c>
      <c r="B36" s="189"/>
      <c r="C36" s="189"/>
      <c r="D36" s="189"/>
      <c r="E36" s="189"/>
      <c r="F36" s="189"/>
      <c r="G36" s="122">
        <v>28</v>
      </c>
      <c r="H36" s="126">
        <v>-2671294</v>
      </c>
      <c r="I36" s="126">
        <v>-5843201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-2671294</v>
      </c>
      <c r="I41" s="127">
        <f>I36+I37+I38+I39+I40</f>
        <v>-5843201</v>
      </c>
    </row>
    <row r="42" spans="1:9" ht="29.45" customHeight="1" x14ac:dyDescent="0.2">
      <c r="A42" s="252" t="s">
        <v>203</v>
      </c>
      <c r="B42" s="252"/>
      <c r="C42" s="252"/>
      <c r="D42" s="252"/>
      <c r="E42" s="252"/>
      <c r="F42" s="252"/>
      <c r="G42" s="124">
        <v>34</v>
      </c>
      <c r="H42" s="127">
        <f>H35+H41</f>
        <v>-1621074</v>
      </c>
      <c r="I42" s="127">
        <f>I35+I41</f>
        <v>-1728965</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2583500</v>
      </c>
      <c r="I46" s="126">
        <f>1140000+494800+39910-66575</f>
        <v>1608135</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2583500</v>
      </c>
      <c r="I48" s="127">
        <f>I44+I45+I46+I47</f>
        <v>1608135</v>
      </c>
    </row>
    <row r="49" spans="1:9" ht="24.6" customHeight="1" x14ac:dyDescent="0.2">
      <c r="A49" s="189" t="s">
        <v>306</v>
      </c>
      <c r="B49" s="189"/>
      <c r="C49" s="189"/>
      <c r="D49" s="189"/>
      <c r="E49" s="189"/>
      <c r="F49" s="189"/>
      <c r="G49" s="122">
        <v>40</v>
      </c>
      <c r="H49" s="126">
        <v>-1206000</v>
      </c>
      <c r="I49" s="126">
        <f>-67500-11810-1111000</f>
        <v>-1190310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-1206000</v>
      </c>
      <c r="I54" s="127">
        <f>I49+I50+I51+I52+I53</f>
        <v>-1190310</v>
      </c>
    </row>
    <row r="55" spans="1:9" ht="29.45" customHeight="1" x14ac:dyDescent="0.2">
      <c r="A55" s="252" t="s">
        <v>215</v>
      </c>
      <c r="B55" s="252"/>
      <c r="C55" s="252"/>
      <c r="D55" s="252"/>
      <c r="E55" s="252"/>
      <c r="F55" s="252"/>
      <c r="G55" s="124">
        <v>46</v>
      </c>
      <c r="H55" s="127">
        <f>H48+H54</f>
        <v>1377500</v>
      </c>
      <c r="I55" s="127">
        <f>I48+I54</f>
        <v>417825</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-585750</v>
      </c>
      <c r="I57" s="127">
        <f>I27+I42+I55+I56</f>
        <v>-872541</v>
      </c>
    </row>
    <row r="58" spans="1:9" x14ac:dyDescent="0.2">
      <c r="A58" s="253" t="s">
        <v>218</v>
      </c>
      <c r="B58" s="253"/>
      <c r="C58" s="253"/>
      <c r="D58" s="253"/>
      <c r="E58" s="253"/>
      <c r="F58" s="253"/>
      <c r="G58" s="122">
        <v>49</v>
      </c>
      <c r="H58" s="126">
        <v>724494</v>
      </c>
      <c r="I58" s="126">
        <v>1015754</v>
      </c>
    </row>
    <row r="59" spans="1:9" ht="31.15" customHeight="1" x14ac:dyDescent="0.2">
      <c r="A59" s="252" t="s">
        <v>219</v>
      </c>
      <c r="B59" s="252"/>
      <c r="C59" s="252"/>
      <c r="D59" s="252"/>
      <c r="E59" s="252"/>
      <c r="F59" s="252"/>
      <c r="G59" s="124">
        <v>50</v>
      </c>
      <c r="H59" s="127">
        <f>H57+H58</f>
        <v>138744</v>
      </c>
      <c r="I59" s="127">
        <f>I57+I58</f>
        <v>143213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colBreaks count="1" manualBreakCount="1">
    <brk id="4"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19"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v>0</v>
      </c>
      <c r="I13" s="115">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5" zoomScale="80" zoomScaleNormal="100" zoomScaleSheetLayoutView="80" workbookViewId="0">
      <selection activeCell="V9" sqref="V9"/>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3600000</v>
      </c>
      <c r="I7" s="41">
        <v>21363005</v>
      </c>
      <c r="J7" s="41">
        <v>180000</v>
      </c>
      <c r="K7" s="41">
        <v>0</v>
      </c>
      <c r="L7" s="41">
        <v>0</v>
      </c>
      <c r="M7" s="41">
        <v>0</v>
      </c>
      <c r="N7" s="41">
        <v>0</v>
      </c>
      <c r="O7" s="41">
        <v>-4340637</v>
      </c>
      <c r="P7" s="41">
        <v>0</v>
      </c>
      <c r="Q7" s="41">
        <v>0</v>
      </c>
      <c r="R7" s="41">
        <v>0</v>
      </c>
      <c r="S7" s="41">
        <v>0</v>
      </c>
      <c r="T7" s="41">
        <v>0</v>
      </c>
      <c r="U7" s="41">
        <v>-2532175</v>
      </c>
      <c r="V7" s="41">
        <v>1411226</v>
      </c>
      <c r="W7" s="42">
        <f>H7+I7+J7+K7-L7+M7+N7+O7+P7+Q7+R7+U7+V7+S7+T7</f>
        <v>19681419</v>
      </c>
      <c r="X7" s="41">
        <v>0</v>
      </c>
      <c r="Y7" s="42">
        <f>W7+X7</f>
        <v>19681419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1</v>
      </c>
      <c r="W9" s="42">
        <f t="shared" si="0"/>
        <v>1</v>
      </c>
      <c r="X9" s="41">
        <v>0</v>
      </c>
      <c r="Y9" s="42">
        <f t="shared" si="1"/>
        <v>1</v>
      </c>
    </row>
    <row r="10" spans="1:25" ht="24" customHeight="1" x14ac:dyDescent="0.2">
      <c r="A10" s="279" t="s">
        <v>300</v>
      </c>
      <c r="B10" s="279"/>
      <c r="C10" s="279"/>
      <c r="D10" s="279"/>
      <c r="E10" s="279"/>
      <c r="F10" s="279"/>
      <c r="G10" s="7">
        <v>4</v>
      </c>
      <c r="H10" s="42">
        <f>H7+H8+H9</f>
        <v>3600000</v>
      </c>
      <c r="I10" s="42">
        <f t="shared" ref="I10:Y10" si="2">I7+I8+I9</f>
        <v>21363005</v>
      </c>
      <c r="J10" s="42">
        <f t="shared" si="2"/>
        <v>180000</v>
      </c>
      <c r="K10" s="42">
        <f>K7+K8+K9</f>
        <v>0</v>
      </c>
      <c r="L10" s="42">
        <f t="shared" si="2"/>
        <v>0</v>
      </c>
      <c r="M10" s="42">
        <f t="shared" si="2"/>
        <v>0</v>
      </c>
      <c r="N10" s="42">
        <f t="shared" si="2"/>
        <v>0</v>
      </c>
      <c r="O10" s="42">
        <f t="shared" si="2"/>
        <v>-4340637</v>
      </c>
      <c r="P10" s="42">
        <f t="shared" si="2"/>
        <v>0</v>
      </c>
      <c r="Q10" s="42">
        <f t="shared" si="2"/>
        <v>0</v>
      </c>
      <c r="R10" s="42">
        <f t="shared" si="2"/>
        <v>0</v>
      </c>
      <c r="S10" s="42">
        <f t="shared" si="2"/>
        <v>0</v>
      </c>
      <c r="T10" s="42">
        <f t="shared" si="2"/>
        <v>0</v>
      </c>
      <c r="U10" s="42">
        <f t="shared" si="2"/>
        <v>-2532175</v>
      </c>
      <c r="V10" s="42">
        <f t="shared" si="2"/>
        <v>1411227</v>
      </c>
      <c r="W10" s="42">
        <f t="shared" si="2"/>
        <v>19681420</v>
      </c>
      <c r="X10" s="42">
        <f t="shared" si="2"/>
        <v>0</v>
      </c>
      <c r="Y10" s="42">
        <f t="shared" si="2"/>
        <v>19681420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835285</v>
      </c>
      <c r="W11" s="42">
        <f t="shared" ref="W11:W29" si="3">H11+I11+J11+K11-L11+M11+N11+O11+P11+Q11+R11+U11+V11+S11+T11</f>
        <v>835285</v>
      </c>
      <c r="X11" s="41">
        <v>0</v>
      </c>
      <c r="Y11" s="42">
        <f t="shared" ref="Y11:Y29" si="4">W11+X11</f>
        <v>835285</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50956</v>
      </c>
      <c r="P13" s="43">
        <v>0</v>
      </c>
      <c r="Q13" s="43">
        <v>0</v>
      </c>
      <c r="R13" s="43">
        <v>0</v>
      </c>
      <c r="S13" s="41">
        <v>0</v>
      </c>
      <c r="T13" s="41">
        <v>0</v>
      </c>
      <c r="U13" s="41">
        <v>0</v>
      </c>
      <c r="V13" s="41">
        <v>0</v>
      </c>
      <c r="W13" s="42">
        <f t="shared" si="3"/>
        <v>50956</v>
      </c>
      <c r="X13" s="41">
        <v>0</v>
      </c>
      <c r="Y13" s="42">
        <f t="shared" si="4"/>
        <v>50956</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1411226</v>
      </c>
      <c r="V28" s="41">
        <v>-1411226</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3600000</v>
      </c>
      <c r="I30" s="44">
        <f t="shared" ref="I30:Y30" si="5">SUM(I10:I29)</f>
        <v>21363005</v>
      </c>
      <c r="J30" s="44">
        <f t="shared" si="5"/>
        <v>180000</v>
      </c>
      <c r="K30" s="44">
        <f t="shared" si="5"/>
        <v>0</v>
      </c>
      <c r="L30" s="44">
        <f t="shared" si="5"/>
        <v>0</v>
      </c>
      <c r="M30" s="44">
        <f t="shared" si="5"/>
        <v>0</v>
      </c>
      <c r="N30" s="44">
        <f t="shared" si="5"/>
        <v>0</v>
      </c>
      <c r="O30" s="44">
        <f t="shared" si="5"/>
        <v>-4289681</v>
      </c>
      <c r="P30" s="44">
        <f t="shared" si="5"/>
        <v>0</v>
      </c>
      <c r="Q30" s="44">
        <f t="shared" si="5"/>
        <v>0</v>
      </c>
      <c r="R30" s="44">
        <f t="shared" si="5"/>
        <v>0</v>
      </c>
      <c r="S30" s="44">
        <f t="shared" si="5"/>
        <v>0</v>
      </c>
      <c r="T30" s="44">
        <f t="shared" si="5"/>
        <v>0</v>
      </c>
      <c r="U30" s="44">
        <f t="shared" si="5"/>
        <v>-1120949</v>
      </c>
      <c r="V30" s="44">
        <f t="shared" si="5"/>
        <v>835286</v>
      </c>
      <c r="W30" s="44">
        <f t="shared" si="5"/>
        <v>20567661</v>
      </c>
      <c r="X30" s="44">
        <f t="shared" si="5"/>
        <v>0</v>
      </c>
      <c r="Y30" s="44">
        <f t="shared" si="5"/>
        <v>20567661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50956</v>
      </c>
      <c r="P32" s="42">
        <f t="shared" si="6"/>
        <v>0</v>
      </c>
      <c r="Q32" s="42">
        <f t="shared" si="6"/>
        <v>0</v>
      </c>
      <c r="R32" s="42">
        <f t="shared" si="6"/>
        <v>0</v>
      </c>
      <c r="S32" s="42">
        <f t="shared" ref="S32:T32" si="7">SUM(S12:S20)</f>
        <v>0</v>
      </c>
      <c r="T32" s="42">
        <f t="shared" si="7"/>
        <v>0</v>
      </c>
      <c r="U32" s="42">
        <f t="shared" si="6"/>
        <v>0</v>
      </c>
      <c r="V32" s="42">
        <f t="shared" si="6"/>
        <v>0</v>
      </c>
      <c r="W32" s="42">
        <f t="shared" si="6"/>
        <v>50956</v>
      </c>
      <c r="X32" s="42">
        <f t="shared" si="6"/>
        <v>0</v>
      </c>
      <c r="Y32" s="42">
        <f t="shared" si="6"/>
        <v>50956</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50956</v>
      </c>
      <c r="P33" s="42">
        <f t="shared" si="8"/>
        <v>0</v>
      </c>
      <c r="Q33" s="42">
        <f t="shared" si="8"/>
        <v>0</v>
      </c>
      <c r="R33" s="42">
        <f t="shared" si="8"/>
        <v>0</v>
      </c>
      <c r="S33" s="42">
        <f t="shared" ref="S33:T33" si="9">S11+S32</f>
        <v>0</v>
      </c>
      <c r="T33" s="42">
        <f t="shared" si="9"/>
        <v>0</v>
      </c>
      <c r="U33" s="42">
        <f t="shared" si="8"/>
        <v>0</v>
      </c>
      <c r="V33" s="42">
        <f t="shared" si="8"/>
        <v>835285</v>
      </c>
      <c r="W33" s="42">
        <f t="shared" si="8"/>
        <v>886241</v>
      </c>
      <c r="X33" s="42">
        <f t="shared" si="8"/>
        <v>0</v>
      </c>
      <c r="Y33" s="42">
        <f t="shared" si="8"/>
        <v>886241</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1411226</v>
      </c>
      <c r="V34" s="44">
        <f t="shared" si="10"/>
        <v>-1411226</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3600000</v>
      </c>
      <c r="I36" s="41">
        <v>21363005</v>
      </c>
      <c r="J36" s="41">
        <v>180000</v>
      </c>
      <c r="K36" s="41">
        <v>0</v>
      </c>
      <c r="L36" s="41">
        <v>0</v>
      </c>
      <c r="M36" s="41">
        <v>0</v>
      </c>
      <c r="N36" s="41">
        <v>0</v>
      </c>
      <c r="O36" s="41">
        <v>-4289681</v>
      </c>
      <c r="P36" s="41">
        <v>0</v>
      </c>
      <c r="Q36" s="41">
        <v>0</v>
      </c>
      <c r="R36" s="41">
        <v>0</v>
      </c>
      <c r="S36" s="41">
        <v>0</v>
      </c>
      <c r="T36" s="41">
        <v>0</v>
      </c>
      <c r="U36" s="41">
        <v>-1120948</v>
      </c>
      <c r="V36" s="41">
        <v>833285</v>
      </c>
      <c r="W36" s="45">
        <f>H36+I36+J36+K36-L36+M36+N36+O36+P36+Q36+R36+U36+V36+S36+T36</f>
        <v>20565661</v>
      </c>
      <c r="X36" s="41">
        <v>0</v>
      </c>
      <c r="Y36" s="45">
        <f t="shared" ref="Y36:Y38" si="12">W36+X36</f>
        <v>20565661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3600000</v>
      </c>
      <c r="I39" s="42">
        <f t="shared" ref="I39:Y39" si="14">I36+I37+I38</f>
        <v>21363005</v>
      </c>
      <c r="J39" s="42">
        <f t="shared" si="14"/>
        <v>180000</v>
      </c>
      <c r="K39" s="42">
        <f t="shared" si="14"/>
        <v>0</v>
      </c>
      <c r="L39" s="42">
        <f t="shared" si="14"/>
        <v>0</v>
      </c>
      <c r="M39" s="42">
        <f t="shared" si="14"/>
        <v>0</v>
      </c>
      <c r="N39" s="42">
        <f t="shared" si="14"/>
        <v>0</v>
      </c>
      <c r="O39" s="42">
        <f t="shared" si="14"/>
        <v>-4289681</v>
      </c>
      <c r="P39" s="42">
        <f t="shared" si="14"/>
        <v>0</v>
      </c>
      <c r="Q39" s="42">
        <f t="shared" si="14"/>
        <v>0</v>
      </c>
      <c r="R39" s="42">
        <f t="shared" si="14"/>
        <v>0</v>
      </c>
      <c r="S39" s="42">
        <f t="shared" si="14"/>
        <v>0</v>
      </c>
      <c r="T39" s="42">
        <f t="shared" si="14"/>
        <v>0</v>
      </c>
      <c r="U39" s="42">
        <f t="shared" si="14"/>
        <v>-1120948</v>
      </c>
      <c r="V39" s="42">
        <f t="shared" si="14"/>
        <v>833285</v>
      </c>
      <c r="W39" s="42">
        <f t="shared" si="14"/>
        <v>20565661</v>
      </c>
      <c r="X39" s="42">
        <f t="shared" si="14"/>
        <v>0</v>
      </c>
      <c r="Y39" s="42">
        <f t="shared" si="14"/>
        <v>20565661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770673</v>
      </c>
      <c r="W40" s="45">
        <f t="shared" ref="W40:W58" si="15">H40+I40+J40+K40-L40+M40+N40+O40+P40+Q40+R40+U40+V40+S40+T40</f>
        <v>770673</v>
      </c>
      <c r="X40" s="41">
        <v>0</v>
      </c>
      <c r="Y40" s="45">
        <f t="shared" ref="Y40:Y58" si="16">W40+X40</f>
        <v>770673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30670</v>
      </c>
      <c r="P42" s="43">
        <v>0</v>
      </c>
      <c r="Q42" s="43">
        <v>0</v>
      </c>
      <c r="R42" s="43">
        <v>0</v>
      </c>
      <c r="S42" s="41">
        <v>0</v>
      </c>
      <c r="T42" s="41">
        <v>0</v>
      </c>
      <c r="U42" s="41">
        <v>0</v>
      </c>
      <c r="V42" s="41">
        <v>0</v>
      </c>
      <c r="W42" s="45">
        <f t="shared" si="15"/>
        <v>30670</v>
      </c>
      <c r="X42" s="41">
        <v>0</v>
      </c>
      <c r="Y42" s="45">
        <f t="shared" si="16"/>
        <v>30670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833285</v>
      </c>
      <c r="V57" s="41">
        <v>-833285</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3600000</v>
      </c>
      <c r="I59" s="44">
        <f t="shared" ref="I59:Y59" si="17">SUM(I39:I58)</f>
        <v>21363005</v>
      </c>
      <c r="J59" s="44">
        <f t="shared" si="17"/>
        <v>180000</v>
      </c>
      <c r="K59" s="44">
        <f t="shared" si="17"/>
        <v>0</v>
      </c>
      <c r="L59" s="44">
        <f t="shared" si="17"/>
        <v>0</v>
      </c>
      <c r="M59" s="44">
        <f t="shared" si="17"/>
        <v>0</v>
      </c>
      <c r="N59" s="44">
        <f t="shared" si="17"/>
        <v>0</v>
      </c>
      <c r="O59" s="44">
        <f t="shared" si="17"/>
        <v>-4259011</v>
      </c>
      <c r="P59" s="44">
        <f t="shared" si="17"/>
        <v>0</v>
      </c>
      <c r="Q59" s="44">
        <f t="shared" si="17"/>
        <v>0</v>
      </c>
      <c r="R59" s="44">
        <f t="shared" si="17"/>
        <v>0</v>
      </c>
      <c r="S59" s="44">
        <f t="shared" si="17"/>
        <v>0</v>
      </c>
      <c r="T59" s="44">
        <f t="shared" si="17"/>
        <v>0</v>
      </c>
      <c r="U59" s="44">
        <f t="shared" si="17"/>
        <v>-287663</v>
      </c>
      <c r="V59" s="44">
        <f t="shared" si="17"/>
        <v>770673</v>
      </c>
      <c r="W59" s="44">
        <f t="shared" si="17"/>
        <v>21367004</v>
      </c>
      <c r="X59" s="44">
        <f t="shared" si="17"/>
        <v>0</v>
      </c>
      <c r="Y59" s="44">
        <f t="shared" si="17"/>
        <v>21367004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30670</v>
      </c>
      <c r="P61" s="45">
        <f t="shared" si="18"/>
        <v>0</v>
      </c>
      <c r="Q61" s="45">
        <f t="shared" si="18"/>
        <v>0</v>
      </c>
      <c r="R61" s="45">
        <f t="shared" si="18"/>
        <v>0</v>
      </c>
      <c r="S61" s="45">
        <f t="shared" ref="S61:T61" si="19">SUM(S41:S49)</f>
        <v>0</v>
      </c>
      <c r="T61" s="45">
        <f t="shared" si="19"/>
        <v>0</v>
      </c>
      <c r="U61" s="45">
        <f t="shared" si="18"/>
        <v>0</v>
      </c>
      <c r="V61" s="45">
        <f t="shared" si="18"/>
        <v>0</v>
      </c>
      <c r="W61" s="45">
        <f t="shared" si="18"/>
        <v>30670</v>
      </c>
      <c r="X61" s="45">
        <f t="shared" si="18"/>
        <v>0</v>
      </c>
      <c r="Y61" s="45">
        <f t="shared" si="18"/>
        <v>30670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30670</v>
      </c>
      <c r="P62" s="45">
        <f t="shared" si="20"/>
        <v>0</v>
      </c>
      <c r="Q62" s="45">
        <f t="shared" si="20"/>
        <v>0</v>
      </c>
      <c r="R62" s="45">
        <f t="shared" si="20"/>
        <v>0</v>
      </c>
      <c r="S62" s="45">
        <f t="shared" ref="S62:T62" si="21">S40+S61</f>
        <v>0</v>
      </c>
      <c r="T62" s="45">
        <f t="shared" si="21"/>
        <v>0</v>
      </c>
      <c r="U62" s="45">
        <f t="shared" si="20"/>
        <v>0</v>
      </c>
      <c r="V62" s="45">
        <f t="shared" si="20"/>
        <v>770673</v>
      </c>
      <c r="W62" s="45">
        <f t="shared" si="20"/>
        <v>801343</v>
      </c>
      <c r="X62" s="45">
        <f t="shared" si="20"/>
        <v>0</v>
      </c>
      <c r="Y62" s="45">
        <f t="shared" si="20"/>
        <v>801343</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833285</v>
      </c>
      <c r="V63" s="46">
        <f t="shared" si="22"/>
        <v>-833285</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9" zoomScale="66" zoomScaleNormal="66" workbookViewId="0">
      <selection activeCell="S27" sqref="S27"/>
    </sheetView>
  </sheetViews>
  <sheetFormatPr defaultRowHeight="12.75" x14ac:dyDescent="0.2"/>
  <cols>
    <col min="9" max="9" width="95" customWidth="1"/>
  </cols>
  <sheetData>
    <row r="1" spans="1:9"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2021-04-29T10:14:19Z</cp:lastPrinted>
  <dcterms:created xsi:type="dcterms:W3CDTF">2008-10-17T11:51:54Z</dcterms:created>
  <dcterms:modified xsi:type="dcterms:W3CDTF">2021-04-29T10:14:31Z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