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4Q24\"/>
    </mc:Choice>
  </mc:AlternateContent>
  <xr:revisionPtr revIDLastSave="0" documentId="13_ncr:1_{6F1DFB7D-98FE-445F-81CC-91B01AFBD92A}" xr6:coauthVersionLast="47" xr6:coauthVersionMax="47" xr10:uidLastSave="{00000000-0000-0000-0000-000000000000}"/>
  <bookViews>
    <workbookView xWindow="-120" yWindow="-120" windowWidth="29040" windowHeight="1599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26" l="1"/>
  <c r="H55" i="26"/>
  <c r="I51" i="26"/>
  <c r="H51" i="26"/>
  <c r="H47" i="26"/>
  <c r="I41" i="26"/>
  <c r="I25" i="26"/>
  <c r="H25" i="26"/>
  <c r="I24" i="26"/>
  <c r="H24" i="26"/>
  <c r="I23" i="26"/>
  <c r="I22" i="26"/>
  <c r="I21"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<sst xmlns="http://schemas.openxmlformats.org/spreadsheetml/2006/main" count="535" uniqueCount="468">
  <si>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</si>
  <si>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</si>
  <si>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</si>
  <si>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</si>
  <si>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</si>
  <si>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</si>
  <si>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</si>
  <si>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</si>
  <si>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</si>
  <si>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</si>
  <si>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</si>
  <si>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</si>
  <si>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</si>
  <si>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</si>
  <si>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</si>
  <si>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</si>
  <si>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</si>
  <si>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</si>
  <si>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</si>
  <si>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</si>
  <si>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</si>
  <si>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</si>
  <si>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</si>
  <si>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</si>
  <si>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</si>
  <si>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</si>
  <si>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</si>
  <si>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</si>
  <si>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</si>
  <si>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</si>
  <si>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</si>
  <si>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</si>
  <si>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</si>
  <si>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</si>
  <si>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</si>
  <si>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</si>
  <si>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</si>
  <si>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</si>
  <si>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</si>
  <si>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</si>
  <si>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</si>
  <si>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</si>
  <si>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</si>
  <si>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</si>
  <si>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</si>
  <si>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</si>
  <si>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</si>
  <si>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</si>
  <si>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</si>
  <si>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</si>
  <si>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</si>
  <si>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</si>
  <si>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</si>
  <si>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</si>
  <si>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</si>
  <si>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</si>
  <si>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</si>
  <si>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</si>
  <si>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</si>
  <si>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</si>
  <si>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</si>
  <si>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</si>
  <si>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</si>
  <si>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</si>
  <si>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</si>
  <si>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</si>
  <si>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</si>
  <si>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</si>
  <si>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</si>
  <si>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</si>
  <si>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</si>
  <si>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</si>
  <si>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</si>
  <si>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</si>
  <si>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</si>
  <si>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</si>
  <si>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</si>
  <si>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</si>
  <si>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</si>
  <si>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</si>
  <si>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</si>
  <si>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</si>
  <si>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</si>
  <si>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</si>
  <si>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</si>
  <si>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</si>
  <si>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</si>
  <si>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</si>
  <si>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</si>
  <si>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</si>
  <si>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</si>
  <si>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</si>
  <si>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</si>
  <si>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</si>
  <si>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</si>
  <si>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</si>
  <si>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</si>
  <si>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</si>
  <si>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</si>
  <si>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</si>
  <si>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</si>
  <si>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</si>
  <si>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</si>
  <si>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</si>
  <si>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</si>
  <si>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</si>
  <si>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</si>
  <si>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</si>
  <si>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</si>
  <si>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</si>
  <si>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</si>
  <si>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</si>
  <si>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</si>
  <si>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</si>
  <si>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</si>
  <si>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</si>
  <si>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</si>
  <si>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</si>
  <si>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</si>
  <si>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</si>
  <si>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</si>
  <si>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</si>
  <si>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</si>
  <si>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</si>
  <si>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</si>
  <si>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</si>
  <si>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</si>
  <si>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</si>
  <si>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</si>
  <si>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</si>
  <si>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</si>
  <si>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</si>
  <si>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</si>
  <si>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</si>
  <si>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</si>
  <si>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</si>
  <si>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</si>
  <si>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</si>
  <si>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</si>
  <si>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</si>
  <si>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</si>
  <si>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</si>
  <si>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</si>
  <si>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</si>
  <si>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</si>
  <si>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</si>
  <si>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</si>
  <si>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</si>
  <si>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</si>
  <si>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</si>
  <si>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</si>
  <si>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</si>
  <si>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</si>
  <si>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</si>
  <si>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</si>
  <si>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</si>
  <si>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</si>
  <si>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</si>
  <si>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</si>
  <si>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</si>
  <si>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</si>
  <si>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</si>
  <si>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</si>
  <si>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</si>
  <si>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</si>
  <si>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</si>
  <si>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</si>
  <si>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</si>
  <si>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</si>
  <si>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</si>
  <si>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</si>
  <si>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</si>
  <si>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</si>
  <si>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</si>
  <si>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</si>
  <si>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</si>
  <si>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</si>
  <si>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</si>
  <si>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</si>
  <si>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</si>
  <si>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</si>
  <si>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</si>
  <si>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</si>
  <si>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</si>
  <si>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</si>
  <si>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</si>
  <si>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</si>
  <si>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</si>
  <si>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</si>
  <si>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</si>
  <si>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</si>
  <si>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</si>
  <si>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</si>
  <si>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</si>
  <si>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</si>
  <si>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</si>
  <si>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</si>
  <si>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</si>
  <si>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</si>
  <si>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</si>
  <si>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</si>
  <si>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</si>
  <si>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</si>
  <si>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</si>
  <si>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</si>
  <si>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</si>
  <si>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</si>
  <si>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</si>
  <si>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</si>
  <si>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</si>
  <si>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</si>
  <si>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</si>
  <si>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</si>
  <si>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</si>
  <si>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</si>
  <si>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</si>
  <si>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</si>
  <si>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</si>
  <si>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</si>
  <si>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</si>
  <si>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</si>
  <si>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</si>
  <si>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</si>
  <si>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</si>
  <si>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</si>
  <si>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</si>
  <si>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</si>
  <si>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</si>
  <si>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</si>
  <si>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</si>
  <si>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</si>
  <si>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</si>
  <si>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</si>
  <si>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</si>
  <si>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</si>
  <si>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</si>
  <si>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</si>
  <si>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</si>
  <si>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</si>
  <si>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</si>
  <si>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</si>
  <si>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</si>
  <si>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</si>
  <si>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</si>
  <si>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</si>
  <si>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</si>
  <si>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</si>
  <si>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</si>
  <si>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</si>
  <si>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</si>
  <si>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</si>
  <si>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</si>
  <si>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</si>
  <si>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</si>
  <si>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</si>
  <si>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</si>
  <si>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</si>
  <si>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</si>
  <si>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</si>
  <si>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</si>
  <si>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</si>
  <si>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</si>
  <si>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</si>
  <si>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</si>
  <si>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</si>
  <si>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</si>
  <si>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</si>
  <si>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</si>
  <si>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</si>
  <si>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</si>
  <si>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</si>
  <si>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</si>
  <si>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</si>
  <si>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</si>
  <si>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</si>
  <si>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</si>
  <si>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</si>
  <si>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</si>
  <si>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</si>
  <si>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</si>
  <si>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</si>
  <si>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</si>
  <si>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</si>
  <si>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</si>
  <si>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</si>
  <si>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</si>
  <si>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</si>
  <si>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</si>
  <si>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</si>
  <si>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</si>
  <si>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</si>
  <si>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</si>
  <si>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</si>
  <si>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</si>
  <si>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</si>
  <si>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</si>
  <si>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</si>
  <si>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</si>
  <si>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</si>
  <si>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</si>
  <si>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</si>
  <si>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</si>
  <si>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</si>
  <si>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</si>
  <si>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</si>
  <si>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</si>
  <si>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</si>
  <si>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</si>
  <si>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</si>
  <si>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</si>
  <si>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</si>
  <si>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</si>
  <si>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</si>
  <si>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</si>
  <si>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</si>
  <si>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</si>
  <si>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</si>
  <si>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</si>
  <si>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</si>
  <si>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</si>
  <si>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</si>
  <si>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</si>
  <si>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</si>
  <si>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</si>
  <si>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</si>
  <si>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</si>
  <si>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</si>
  <si>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</si>
  <si>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</si>
  <si>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</si>
  <si>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</si>
  <si>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</si>
  <si>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</si>
  <si>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</si>
  <si>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</si>
  <si>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</si>
  <si>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</si>
  <si>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</si>
  <si>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</si>
  <si>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</si>
  <si>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</si>
  <si>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</si>
  <si>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</si>
  <si>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</si>
  <si>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</si>
  <si>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</si>
  <si>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</si>
  <si>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</si>
  <si>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</si>
  <si>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</si>
  <si>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</si>
  <si>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</si>
  <si>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</si>
  <si>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</si>
  <si>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</si>
  <si>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</si>
  <si>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</si>
  <si>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</si>
  <si>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</si>
  <si>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</si>
  <si>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</si>
  <si>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</si>
  <si>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</si>
  <si>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</si>
  <si>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</si>
  <si>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</si>
  <si>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</si>
  <si>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</si>
  <si>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</si>
  <si>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</si>
  <si>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</si>
  <si>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</si>
  <si>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</si>
  <si>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</si>
  <si>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</si>
  <si>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</si>
  <si>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</si>
  <si>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</si>
  <si>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</si>
  <si>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</si>
  <si>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</si>
  <si>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</si>
  <si>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</si>
  <si>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</si>
  <si>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</si>
  <si>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</si>
  <si>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</si>
  <si>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</si>
  <si>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</si>
  <si>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</si>
  <si>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</si>
  <si>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</si>
  <si>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</si>
  <si>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</si>
  <si>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</si>
  <si>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</si>
  <si>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</si>
  <si>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</si>
  <si>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</si>
  <si>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</si>
  <si>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</si>
  <si>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</si>
  <si>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</si>
  <si>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</si>
  <si>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</si>
  <si>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</si>
  <si>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</si>
  <si>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</si>
  <si>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</si>
  <si>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</si>
  <si>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</si>
  <si>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</si>
  <si>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</si>
  <si>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</si>
  <si>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</si>
  <si>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</si>
  <si>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</si>
  <si>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</si>
  <si>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</si>
  <si>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</si>
  <si>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</si>
  <si>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</si>
  <si>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</si>
  <si>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</si>
  <si>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</si>
  <si>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</si>
  <si>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</si>
  <si>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</si>
  <si>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</si>
  <si>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</si>
  <si>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</si>
  <si>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</si>
  <si>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</si>
  <si>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</si>
  <si>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</si>
  <si>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</si>
  <si>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</si>
  <si>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</si>
  <si>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</si>
  <si>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</si>
  <si>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</si>
  <si>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</si>
  <si>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</si>
  <si>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</si>
  <si>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</si>
  <si>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</si>
  <si>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</si>
  <si>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</si>
  <si>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</si>
  <si>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</si>
  <si>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</si>
  <si>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</si>
  <si>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</si>
  <si>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</si>
  <si>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</si>
  <si>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</si>
  <si>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</si>
  <si>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</si>
  <si>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</si>
  <si>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</si>
  <si>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</si>
  <si>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</si>
  <si>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</si>
  <si>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</si>
  <si>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Obveznik: TERRA FIRMA d.d.</t>
  </si>
  <si>
    <t>stanje na dan 31.12.2024</t>
  </si>
  <si>
    <t>u razdoblju 01.01.2024. do 31.12.2024.</t>
  </si>
  <si>
    <r>
      <t xml:space="preserve">BILJEŠKE UZ FINANCIJSKE IZVJEŠTAJE - TFI
(koji se sastavljaju za tromjesečna razdoblja)
Naziv izdavatelja:   TERRA FIRMA d.d.                                                                                                                                                                                                                                                                                                                                 Sjedište: Budmanijeva 3, Zagreb 
OIB:  22198253360
Izvještajno razdoblje: 1.1.2024. - 31.12.2024.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 financijske godine proveden je prijenos nekretnina u kategoriju imovine namijenjene prodaji, a koje su se prethodno vodile kao ulaganja u nekretnine. Uz navedenu reklasifikaciju, usvojena je promjena računovodstvene politike vrednovanja ulaganja u nekretnine, prelaskom s modela fer vrijednosti na model troška. Budući da se nekretnine već vode po trošku stjecanja, Uprava smatra da promjena modela vrednovanja nema značajan utjecaj na financijske izvještaje
d) Izdavatelj ne obavlja djelatnost sezonske prirode.
e) Detaljna analiza prihoda i rezultata nalazi se u Izvještaju poslovodstva kao i u nastavku:  </t>
    </r>
    <r>
      <rPr>
        <sz val="10"/>
        <color rgb="FFFF0000"/>
        <rFont val="Arial"/>
        <family val="2"/>
        <charset val="238"/>
      </rPr>
      <t xml:space="preserve">                                                                                               		                 </t>
    </r>
    <r>
      <rPr>
        <sz val="10"/>
        <rFont val="Arial"/>
        <family val="2"/>
        <charset val="238"/>
      </rPr>
      <t xml:space="preserve">PRIHODI OD PRODAJE           31.12.2023.	            31.12.2024.
Dobit od prodaje 	                         514.028	                   647.396
Prihod od zakupa                        238.665                    224.068
	                                                752.693                    871.464          	</t>
    </r>
    <r>
      <rPr>
        <sz val="10"/>
        <color rgb="FFFF0000"/>
        <rFont val="Arial"/>
        <family val="2"/>
        <charset val="238"/>
      </rPr>
      <t xml:space="preserve">		
</t>
    </r>
    <r>
      <rPr>
        <sz val="10"/>
        <rFont val="Arial"/>
        <family val="2"/>
        <charset val="238"/>
      </rPr>
      <t xml:space="preserve">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5 (Q4 2023: 5).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</si>
</sst>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3" zoomScaleNormal="100" zoomScaleSheetLayoutView="100" workbookViewId="0">
      <selection activeCell="M15" sqref="M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45657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454</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460</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461</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462</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463</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3" zoomScale="110" zoomScaleNormal="100" zoomScaleSheetLayoutView="110" workbookViewId="0">
      <selection activeCell="N32" sqref="N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464</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3871792</v>
      </c>
      <c r="I9" s="82">
        <f>I10+I17+I27+I38+I43</f>
        <v>2661956</v>
      </c>
    </row>
    <row r="10" spans="1:9" ht="12.75" customHeight="1" x14ac:dyDescent="0.2">
      <c r="A10" s="191" t="s">
        <v>5</v>
      </c>
      <c r="B10" s="191"/>
      <c r="C10" s="191"/>
      <c r="D10" s="191"/>
      <c r="E10" s="191"/>
      <c r="F10" s="191"/>
      <c r="G10" s="12">
        <v>3</v>
      </c>
      <c r="H10" s="82">
        <f>H11+H12+H13+H14+H15+H16</f>
        <v>49</v>
      </c>
      <c r="I10" s="82">
        <f>I11+I12+I13+I14+I15+I16</f>
        <v>28</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49</v>
      </c>
      <c r="I13" s="18">
        <v>28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2834450</v>
      </c>
      <c r="I17" s="82">
        <f>I18+I19+I20+I21+I22+I23+I24+I25+I26</f>
        <v>1559629</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48720</v>
      </c>
      <c r="I20" s="18">
        <v>25881</v>
      </c>
    </row>
    <row r="21" spans="1:9" ht="12.75" customHeight="1" x14ac:dyDescent="0.2">
      <c r="A21" s="190" t="s">
        <v>16</v>
      </c>
      <c r="B21" s="190"/>
      <c r="C21" s="190"/>
      <c r="D21" s="190"/>
      <c r="E21" s="190"/>
      <c r="F21" s="190"/>
      <c r="G21" s="11">
        <v>14</v>
      </c>
      <c r="H21" s="18">
        <v>4791</v>
      </c>
      <c r="I21" s="18">
        <v>20691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2780939</v>
      </c>
      <c r="I26" s="18">
        <v>1513057</v>
      </c>
    </row>
    <row r="27" spans="1:9" ht="12.75" customHeight="1" x14ac:dyDescent="0.2">
      <c r="A27" s="191" t="s">
        <v>22</v>
      </c>
      <c r="B27" s="191"/>
      <c r="C27" s="191"/>
      <c r="D27" s="191"/>
      <c r="E27" s="191"/>
      <c r="F27" s="191"/>
      <c r="G27" s="12">
        <v>20</v>
      </c>
      <c r="H27" s="82">
        <f>SUM(H28:H37)</f>
        <v>1037293</v>
      </c>
      <c r="I27" s="82">
        <f>SUM(I28:I37)</f>
        <v>1102299</v>
      </c>
    </row>
    <row r="28" spans="1:9" ht="12.75" customHeight="1" x14ac:dyDescent="0.2">
      <c r="A28" s="190" t="s">
        <v>23</v>
      </c>
      <c r="B28" s="190"/>
      <c r="C28" s="190"/>
      <c r="D28" s="190"/>
      <c r="E28" s="190"/>
      <c r="F28" s="190"/>
      <c r="G28" s="11">
        <v>21</v>
      </c>
      <c r="H28" s="18">
        <v>1001143</v>
      </c>
      <c r="I28" s="18">
        <v>1062399</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3750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36150</v>
      </c>
      <c r="I36" s="18">
        <v>36150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1125311</v>
      </c>
      <c r="I44" s="82">
        <f>I45+I53+I60+I70</f>
        <v>2805056</v>
      </c>
    </row>
    <row r="45" spans="1:9" ht="12.75" customHeight="1" x14ac:dyDescent="0.2">
      <c r="A45" s="191" t="s">
        <v>39</v>
      </c>
      <c r="B45" s="191"/>
      <c r="C45" s="191"/>
      <c r="D45" s="191"/>
      <c r="E45" s="191"/>
      <c r="F45" s="191"/>
      <c r="G45" s="12">
        <v>38</v>
      </c>
      <c r="H45" s="82">
        <f>SUM(H46:H52)</f>
        <v>0</v>
      </c>
      <c r="I45" s="82">
        <f>SUM(I46:I52)</f>
        <v>915762</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915762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59037</v>
      </c>
      <c r="I53" s="82">
        <f>SUM(I54:I59)</f>
        <v>136810</v>
      </c>
    </row>
    <row r="54" spans="1:9" ht="12.75" customHeight="1" x14ac:dyDescent="0.2">
      <c r="A54" s="190" t="s">
        <v>48</v>
      </c>
      <c r="B54" s="190"/>
      <c r="C54" s="190"/>
      <c r="D54" s="190"/>
      <c r="E54" s="190"/>
      <c r="F54" s="190"/>
      <c r="G54" s="11">
        <v>47</v>
      </c>
      <c r="H54" s="18">
        <v>44285</v>
      </c>
      <c r="I54" s="18">
        <v>66874</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9181</v>
      </c>
      <c r="I56" s="18">
        <v>17784</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90</v>
      </c>
      <c r="I58" s="18">
        <v>50339</v>
      </c>
    </row>
    <row r="59" spans="1:9" ht="12.75" customHeight="1" x14ac:dyDescent="0.2">
      <c r="A59" s="190" t="s">
        <v>53</v>
      </c>
      <c r="B59" s="190"/>
      <c r="C59" s="190"/>
      <c r="D59" s="190"/>
      <c r="E59" s="190"/>
      <c r="F59" s="190"/>
      <c r="G59" s="11">
        <v>52</v>
      </c>
      <c r="H59" s="18">
        <v>5481</v>
      </c>
      <c r="I59" s="18">
        <v>1813</v>
      </c>
    </row>
    <row r="60" spans="1:9" ht="12.75" customHeight="1" x14ac:dyDescent="0.2">
      <c r="A60" s="191" t="s">
        <v>54</v>
      </c>
      <c r="B60" s="191"/>
      <c r="C60" s="191"/>
      <c r="D60" s="191"/>
      <c r="E60" s="191"/>
      <c r="F60" s="191"/>
      <c r="G60" s="12">
        <v>53</v>
      </c>
      <c r="H60" s="82">
        <f>SUM(H61:H69)</f>
        <v>1051309</v>
      </c>
      <c r="I60" s="82">
        <f>SUM(I61:I69)</f>
        <v>1188196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806564</v>
      </c>
      <c r="I63" s="18">
        <v>990994</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244745</v>
      </c>
      <c r="I69" s="18">
        <v>197202</v>
      </c>
    </row>
    <row r="70" spans="1:9" ht="12.75" customHeight="1" x14ac:dyDescent="0.2">
      <c r="A70" s="190" t="s">
        <v>57</v>
      </c>
      <c r="B70" s="190"/>
      <c r="C70" s="190"/>
      <c r="D70" s="190"/>
      <c r="E70" s="190"/>
      <c r="F70" s="190"/>
      <c r="G70" s="11">
        <v>63</v>
      </c>
      <c r="H70" s="18">
        <v>14965</v>
      </c>
      <c r="I70" s="18">
        <v>564288</v>
      </c>
    </row>
    <row r="71" spans="1:9" ht="12.75" customHeight="1" x14ac:dyDescent="0.2">
      <c r="A71" s="206" t="s">
        <v>58</v>
      </c>
      <c r="B71" s="206"/>
      <c r="C71" s="206"/>
      <c r="D71" s="206"/>
      <c r="E71" s="206"/>
      <c r="F71" s="206"/>
      <c r="G71" s="11">
        <v>64</v>
      </c>
      <c r="H71" s="18">
        <v>220</v>
      </c>
      <c r="I71" s="18">
        <v>0</v>
      </c>
    </row>
    <row r="72" spans="1:9" ht="12.75" customHeight="1" x14ac:dyDescent="0.2">
      <c r="A72" s="192" t="s">
        <v>304</v>
      </c>
      <c r="B72" s="192"/>
      <c r="C72" s="192"/>
      <c r="D72" s="192"/>
      <c r="E72" s="192"/>
      <c r="F72" s="192"/>
      <c r="G72" s="12">
        <v>65</v>
      </c>
      <c r="H72" s="82">
        <f>H8+H9+H44+H71</f>
        <v>4997323</v>
      </c>
      <c r="I72" s="82">
        <f>I8+I9+I44+I71</f>
        <v>5467012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4052979</v>
      </c>
      <c r="I75" s="83">
        <f>I76+I77+I78+I84+I85+I91+I94+I97</f>
        <v>4683703</v>
      </c>
    </row>
    <row r="76" spans="1:9" ht="12.75" customHeight="1" x14ac:dyDescent="0.2">
      <c r="A76" s="190" t="s">
        <v>61</v>
      </c>
      <c r="B76" s="190"/>
      <c r="C76" s="190"/>
      <c r="D76" s="190"/>
      <c r="E76" s="190"/>
      <c r="F76" s="190"/>
      <c r="G76" s="11">
        <v>68</v>
      </c>
      <c r="H76" s="18">
        <v>1000000</v>
      </c>
      <c r="I76" s="18">
        <v>1000000</v>
      </c>
    </row>
    <row r="77" spans="1:9" ht="12.75" customHeight="1" x14ac:dyDescent="0.2">
      <c r="A77" s="190" t="s">
        <v>62</v>
      </c>
      <c r="B77" s="190"/>
      <c r="C77" s="190"/>
      <c r="D77" s="190"/>
      <c r="E77" s="190"/>
      <c r="F77" s="190"/>
      <c r="G77" s="11">
        <v>69</v>
      </c>
      <c r="H77" s="18">
        <v>2313160</v>
      </c>
      <c r="I77" s="18">
        <v>2313160</v>
      </c>
    </row>
    <row r="78" spans="1:9" ht="12.75" customHeight="1" x14ac:dyDescent="0.2">
      <c r="A78" s="191" t="s">
        <v>63</v>
      </c>
      <c r="B78" s="191"/>
      <c r="C78" s="191"/>
      <c r="D78" s="191"/>
      <c r="E78" s="191"/>
      <c r="F78" s="191"/>
      <c r="G78" s="12">
        <v>70</v>
      </c>
      <c r="H78" s="83">
        <f>SUM(H79:H83)</f>
        <v>23890</v>
      </c>
      <c r="I78" s="83">
        <f>SUM(I79:I83)</f>
        <v>23890</v>
      </c>
    </row>
    <row r="79" spans="1:9" ht="12.75" customHeight="1" x14ac:dyDescent="0.2">
      <c r="A79" s="190" t="s">
        <v>64</v>
      </c>
      <c r="B79" s="190"/>
      <c r="C79" s="190"/>
      <c r="D79" s="190"/>
      <c r="E79" s="190"/>
      <c r="F79" s="190"/>
      <c r="G79" s="11">
        <v>71</v>
      </c>
      <c r="H79" s="18">
        <v>23890</v>
      </c>
      <c r="I79" s="18">
        <v>23890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-469727</v>
      </c>
      <c r="I84" s="43">
        <v>-408471</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734640</v>
      </c>
      <c r="I91" s="82">
        <f>I92-I93</f>
        <v>1185656</v>
      </c>
    </row>
    <row r="92" spans="1:9" ht="12.75" customHeight="1" x14ac:dyDescent="0.2">
      <c r="A92" s="190" t="s">
        <v>72</v>
      </c>
      <c r="B92" s="190"/>
      <c r="C92" s="190"/>
      <c r="D92" s="190"/>
      <c r="E92" s="190"/>
      <c r="F92" s="190"/>
      <c r="G92" s="11">
        <v>84</v>
      </c>
      <c r="H92" s="18">
        <v>734640</v>
      </c>
      <c r="I92" s="18">
        <v>1185656</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451016</v>
      </c>
      <c r="I94" s="82">
        <f>I95-I96</f>
        <v>569468</v>
      </c>
    </row>
    <row r="95" spans="1:9" ht="12.75" customHeight="1" x14ac:dyDescent="0.2">
      <c r="A95" s="190" t="s">
        <v>74</v>
      </c>
      <c r="B95" s="190"/>
      <c r="C95" s="190"/>
      <c r="D95" s="190"/>
      <c r="E95" s="190"/>
      <c r="F95" s="190"/>
      <c r="G95" s="11">
        <v>87</v>
      </c>
      <c r="H95" s="18">
        <v>451016</v>
      </c>
      <c r="I95" s="18">
        <v>569468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0</v>
      </c>
      <c r="I105" s="82">
        <f>SUM(I106:I116)</f>
        <v>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944344</v>
      </c>
      <c r="I117" s="82">
        <f>SUM(I118:I131)</f>
        <v>783309</v>
      </c>
    </row>
    <row r="118" spans="1:9" ht="12.75" customHeight="1" x14ac:dyDescent="0.2">
      <c r="A118" s="190" t="s">
        <v>83</v>
      </c>
      <c r="B118" s="190"/>
      <c r="C118" s="190"/>
      <c r="D118" s="190"/>
      <c r="E118" s="190"/>
      <c r="F118" s="190"/>
      <c r="G118" s="11">
        <v>110</v>
      </c>
      <c r="H118" s="18">
        <v>0</v>
      </c>
      <c r="I118" s="18">
        <v>664</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875423</v>
      </c>
      <c r="I122" s="18">
        <v>610034</v>
      </c>
    </row>
    <row r="123" spans="1:9" ht="12.75" customHeight="1" x14ac:dyDescent="0.2">
      <c r="A123" s="190" t="s">
        <v>88</v>
      </c>
      <c r="B123" s="190"/>
      <c r="C123" s="190"/>
      <c r="D123" s="190"/>
      <c r="E123" s="190"/>
      <c r="F123" s="190"/>
      <c r="G123" s="11">
        <v>115</v>
      </c>
      <c r="H123" s="18">
        <v>0</v>
      </c>
      <c r="I123" s="18">
        <v>5415</v>
      </c>
    </row>
    <row r="124" spans="1:9" ht="12.75" customHeight="1" x14ac:dyDescent="0.2">
      <c r="A124" s="190" t="s">
        <v>89</v>
      </c>
      <c r="B124" s="190"/>
      <c r="C124" s="190"/>
      <c r="D124" s="190"/>
      <c r="E124" s="190"/>
      <c r="F124" s="190"/>
      <c r="G124" s="11">
        <v>116</v>
      </c>
      <c r="H124" s="18">
        <v>2000</v>
      </c>
      <c r="I124" s="18">
        <v>11500</v>
      </c>
    </row>
    <row r="125" spans="1:9" ht="12.75" customHeight="1" x14ac:dyDescent="0.2">
      <c r="A125" s="190" t="s">
        <v>90</v>
      </c>
      <c r="B125" s="190"/>
      <c r="C125" s="190"/>
      <c r="D125" s="190"/>
      <c r="E125" s="190"/>
      <c r="F125" s="190"/>
      <c r="G125" s="11">
        <v>117</v>
      </c>
      <c r="H125" s="18">
        <v>10187</v>
      </c>
      <c r="I125" s="18">
        <v>10184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5511</v>
      </c>
      <c r="I127" s="18">
        <v>6698</v>
      </c>
    </row>
    <row r="128" spans="1:9" x14ac:dyDescent="0.2">
      <c r="A128" s="190" t="s">
        <v>95</v>
      </c>
      <c r="B128" s="190"/>
      <c r="C128" s="190"/>
      <c r="D128" s="190"/>
      <c r="E128" s="190"/>
      <c r="F128" s="190"/>
      <c r="G128" s="11">
        <v>120</v>
      </c>
      <c r="H128" s="18">
        <v>51223</v>
      </c>
      <c r="I128" s="18">
        <v>138814</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4997323</v>
      </c>
      <c r="I133" s="82">
        <f>I75+I98+I105+I117+I132</f>
        <v>5467012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28" zoomScale="85" zoomScaleNormal="85" zoomScaleSheetLayoutView="110" workbookViewId="0">
      <selection activeCell="K10" sqref="K1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466</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803851</v>
      </c>
      <c r="I8" s="48">
        <f>SUM(I9:I13)</f>
        <v>82984</v>
      </c>
      <c r="J8" s="48">
        <f>SUM(J9:J13)</f>
        <v>920253</v>
      </c>
      <c r="K8" s="48">
        <f>SUM(K9:K13)</f>
        <v>262403</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752693</v>
      </c>
      <c r="I10" s="49">
        <v>74096</v>
      </c>
      <c r="J10" s="49">
        <v>871464</v>
      </c>
      <c r="K10" s="49">
        <v>238856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51158</v>
      </c>
      <c r="I13" s="49">
        <v>8888</v>
      </c>
      <c r="J13" s="49">
        <v>48789</v>
      </c>
      <c r="K13" s="49">
        <v>23547</v>
      </c>
    </row>
    <row r="14" spans="1:11" ht="12.75" customHeight="1" x14ac:dyDescent="0.2">
      <c r="A14" s="224" t="s">
        <v>360</v>
      </c>
      <c r="B14" s="224"/>
      <c r="C14" s="224"/>
      <c r="D14" s="224"/>
      <c r="E14" s="224"/>
      <c r="F14" s="224"/>
      <c r="G14" s="12">
        <v>7</v>
      </c>
      <c r="H14" s="48">
        <f>H15+H16+H20+H24+H25+H26+H29+H36</f>
        <v>299346</v>
      </c>
      <c r="I14" s="48">
        <f>I15+I16+I20+I24+I25+I26+I29+I36</f>
        <v>92582</v>
      </c>
      <c r="J14" s="48">
        <f>J15+J16+J20+J24+J25+J26+J29+J36</f>
        <v>296191</v>
      </c>
      <c r="K14" s="48">
        <f>K15+K16+K20+K24+K25+K26+K29+K36</f>
        <v>78010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160525</v>
      </c>
      <c r="I16" s="48">
        <f>SUM(I17:I19)</f>
        <v>53953</v>
      </c>
      <c r="J16" s="48">
        <f>SUM(J17:J19)</f>
        <v>129435</v>
      </c>
      <c r="K16" s="48">
        <f>SUM(K17:K19)</f>
        <v>33497</v>
      </c>
    </row>
    <row r="17" spans="1:11" ht="12.75" customHeight="1" x14ac:dyDescent="0.2">
      <c r="A17" s="225" t="s">
        <v>120</v>
      </c>
      <c r="B17" s="225"/>
      <c r="C17" s="225"/>
      <c r="D17" s="225"/>
      <c r="E17" s="225"/>
      <c r="F17" s="225"/>
      <c r="G17" s="11">
        <v>10</v>
      </c>
      <c r="H17" s="49">
        <v>49562</v>
      </c>
      <c r="I17" s="49">
        <v>9657</v>
      </c>
      <c r="J17" s="49">
        <v>31516</v>
      </c>
      <c r="K17" s="49">
        <v>11087</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110963</v>
      </c>
      <c r="I19" s="49">
        <v>44296</v>
      </c>
      <c r="J19" s="49">
        <v>97919</v>
      </c>
      <c r="K19" s="49">
        <v>22410</v>
      </c>
    </row>
    <row r="20" spans="1:11" ht="12.75" customHeight="1" x14ac:dyDescent="0.2">
      <c r="A20" s="191" t="s">
        <v>441</v>
      </c>
      <c r="B20" s="191"/>
      <c r="C20" s="191"/>
      <c r="D20" s="191"/>
      <c r="E20" s="191"/>
      <c r="F20" s="191"/>
      <c r="G20" s="12">
        <v>13</v>
      </c>
      <c r="H20" s="48">
        <f>SUM(H21:H23)</f>
        <v>82116</v>
      </c>
      <c r="I20" s="48">
        <f>SUM(I21:I23)</f>
        <v>23858</v>
      </c>
      <c r="J20" s="48">
        <f>SUM(J21:J23)</f>
        <v>110484</v>
      </c>
      <c r="K20" s="48">
        <f>SUM(K21:K23)</f>
        <v>27740</v>
      </c>
    </row>
    <row r="21" spans="1:11" ht="12.75" customHeight="1" x14ac:dyDescent="0.2">
      <c r="A21" s="225" t="s">
        <v>105</v>
      </c>
      <c r="B21" s="225"/>
      <c r="C21" s="225"/>
      <c r="D21" s="225"/>
      <c r="E21" s="225"/>
      <c r="F21" s="225"/>
      <c r="G21" s="11">
        <v>14</v>
      </c>
      <c r="H21" s="49">
        <v>53883</v>
      </c>
      <c r="I21" s="49">
        <f>53883-38483</f>
        <v>15400</v>
      </c>
      <c r="J21" s="49">
        <v>70269</v>
      </c>
      <c r="K21" s="49">
        <v>17689</v>
      </c>
    </row>
    <row r="22" spans="1:11" ht="12.75" customHeight="1" x14ac:dyDescent="0.2">
      <c r="A22" s="225" t="s">
        <v>106</v>
      </c>
      <c r="B22" s="225"/>
      <c r="C22" s="225"/>
      <c r="D22" s="225"/>
      <c r="E22" s="225"/>
      <c r="F22" s="225"/>
      <c r="G22" s="11">
        <v>15</v>
      </c>
      <c r="H22" s="49">
        <v>19108</v>
      </c>
      <c r="I22" s="49">
        <f>19108-13300</f>
        <v>5808</v>
      </c>
      <c r="J22" s="49">
        <v>24826</v>
      </c>
      <c r="K22" s="49">
        <v>6122</v>
      </c>
    </row>
    <row r="23" spans="1:11" ht="12.75" customHeight="1" x14ac:dyDescent="0.2">
      <c r="A23" s="225" t="s">
        <v>107</v>
      </c>
      <c r="B23" s="225"/>
      <c r="C23" s="225"/>
      <c r="D23" s="225"/>
      <c r="E23" s="225"/>
      <c r="F23" s="225"/>
      <c r="G23" s="11">
        <v>16</v>
      </c>
      <c r="H23" s="49">
        <v>9125</v>
      </c>
      <c r="I23" s="49">
        <f>9125-6475</f>
        <v>2650</v>
      </c>
      <c r="J23" s="49">
        <v>15389</v>
      </c>
      <c r="K23" s="49">
        <v>3929</v>
      </c>
    </row>
    <row r="24" spans="1:11" ht="12.75" customHeight="1" x14ac:dyDescent="0.2">
      <c r="A24" s="190" t="s">
        <v>108</v>
      </c>
      <c r="B24" s="190"/>
      <c r="C24" s="190"/>
      <c r="D24" s="190"/>
      <c r="E24" s="190"/>
      <c r="F24" s="190"/>
      <c r="G24" s="11">
        <v>17</v>
      </c>
      <c r="H24" s="49">
        <f>2522+21+1859+1068+1068+259+474+17547</f>
        <v>24818</v>
      </c>
      <c r="I24" s="49">
        <f>24818-19102</f>
        <v>5716</v>
      </c>
      <c r="J24" s="49">
        <v>25041</v>
      </c>
      <c r="K24" s="49">
        <v>6333</v>
      </c>
    </row>
    <row r="25" spans="1:11" ht="12.75" customHeight="1" x14ac:dyDescent="0.2">
      <c r="A25" s="190" t="s">
        <v>109</v>
      </c>
      <c r="B25" s="190"/>
      <c r="C25" s="190"/>
      <c r="D25" s="190"/>
      <c r="E25" s="190"/>
      <c r="F25" s="190"/>
      <c r="G25" s="11">
        <v>18</v>
      </c>
      <c r="H25" s="49">
        <f>3037+3318+4677+200+564+856+826+2702+2654+200+5746+24+469+1199+4814+550</f>
        <v>31836</v>
      </c>
      <c r="I25" s="49">
        <f>31836-22781</f>
        <v>9055</v>
      </c>
      <c r="J25" s="49">
        <v>31231</v>
      </c>
      <c r="K25" s="49">
        <v>10440</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51</v>
      </c>
      <c r="I36" s="49">
        <v>0</v>
      </c>
      <c r="J36" s="49">
        <v>0</v>
      </c>
      <c r="K36" s="49">
        <v>0</v>
      </c>
    </row>
    <row r="37" spans="1:11" ht="12.75" customHeight="1" x14ac:dyDescent="0.2">
      <c r="A37" s="224" t="s">
        <v>361</v>
      </c>
      <c r="B37" s="224"/>
      <c r="C37" s="224"/>
      <c r="D37" s="224"/>
      <c r="E37" s="224"/>
      <c r="F37" s="224"/>
      <c r="G37" s="12">
        <v>30</v>
      </c>
      <c r="H37" s="48">
        <f>SUM(H38:H47)</f>
        <v>29531</v>
      </c>
      <c r="I37" s="48">
        <f>SUM(I38:I47)</f>
        <v>4415</v>
      </c>
      <c r="J37" s="48">
        <f>SUM(J38:J47)</f>
        <v>45464</v>
      </c>
      <c r="K37" s="48">
        <f>SUM(K38:K47)</f>
        <v>24512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16817</v>
      </c>
      <c r="I41" s="49">
        <f>16817-12429</f>
        <v>4388</v>
      </c>
      <c r="J41" s="49">
        <v>28326</v>
      </c>
      <c r="K41" s="49">
        <v>8403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699</v>
      </c>
      <c r="K44" s="49">
        <v>0</v>
      </c>
    </row>
    <row r="45" spans="1:11" ht="12.75" customHeight="1" x14ac:dyDescent="0.2">
      <c r="A45" s="190" t="s">
        <v>138</v>
      </c>
      <c r="B45" s="190"/>
      <c r="C45" s="190"/>
      <c r="D45" s="190"/>
      <c r="E45" s="190"/>
      <c r="F45" s="190"/>
      <c r="G45" s="11">
        <v>38</v>
      </c>
      <c r="H45" s="49">
        <v>3</v>
      </c>
      <c r="I45" s="49">
        <v>1</v>
      </c>
      <c r="J45" s="49">
        <v>0</v>
      </c>
      <c r="K45" s="49">
        <v>0</v>
      </c>
    </row>
    <row r="46" spans="1:11" ht="12.75" customHeight="1" x14ac:dyDescent="0.2">
      <c r="A46" s="190" t="s">
        <v>139</v>
      </c>
      <c r="B46" s="190"/>
      <c r="C46" s="190"/>
      <c r="D46" s="190"/>
      <c r="E46" s="190"/>
      <c r="F46" s="190"/>
      <c r="G46" s="11">
        <v>39</v>
      </c>
      <c r="H46" s="49">
        <v>0</v>
      </c>
      <c r="I46" s="49">
        <v>0</v>
      </c>
      <c r="J46" s="49">
        <v>13109</v>
      </c>
      <c r="K46" s="49">
        <v>13109</v>
      </c>
    </row>
    <row r="47" spans="1:11" ht="12.75" customHeight="1" x14ac:dyDescent="0.2">
      <c r="A47" s="190" t="s">
        <v>140</v>
      </c>
      <c r="B47" s="190"/>
      <c r="C47" s="190"/>
      <c r="D47" s="190"/>
      <c r="E47" s="190"/>
      <c r="F47" s="190"/>
      <c r="G47" s="11">
        <v>40</v>
      </c>
      <c r="H47" s="49">
        <f>12685+26</f>
        <v>12711</v>
      </c>
      <c r="I47" s="49">
        <v>26</v>
      </c>
      <c r="J47" s="49">
        <v>3330</v>
      </c>
      <c r="K47" s="49">
        <v>3000</v>
      </c>
    </row>
    <row r="48" spans="1:11" ht="12.75" customHeight="1" x14ac:dyDescent="0.2">
      <c r="A48" s="224" t="s">
        <v>362</v>
      </c>
      <c r="B48" s="224"/>
      <c r="C48" s="224"/>
      <c r="D48" s="224"/>
      <c r="E48" s="224"/>
      <c r="F48" s="224"/>
      <c r="G48" s="12">
        <v>41</v>
      </c>
      <c r="H48" s="48">
        <f>SUM(H49:H55)</f>
        <v>31334</v>
      </c>
      <c r="I48" s="48">
        <f>SUM(I49:I55)</f>
        <v>7107</v>
      </c>
      <c r="J48" s="48">
        <f>SUM(J49:J55)</f>
        <v>36784</v>
      </c>
      <c r="K48" s="48">
        <f>SUM(K49:K55)</f>
        <v>13127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f>29006+10+1+43+7</f>
        <v>29067</v>
      </c>
      <c r="I51" s="49">
        <f>29067-21960</f>
        <v>7107</v>
      </c>
      <c r="J51" s="49">
        <v>31076</v>
      </c>
      <c r="K51" s="49">
        <v>7420</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5707</v>
      </c>
      <c r="K53" s="49">
        <v>5707</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f>2267</f>
        <v>2267</v>
      </c>
      <c r="I55" s="49">
        <v>0</v>
      </c>
      <c r="J55" s="49">
        <v>1</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833382</v>
      </c>
      <c r="I60" s="48">
        <f t="shared" ref="I60:K60" si="0">I8+I37+I56+I57</f>
        <v>87399</v>
      </c>
      <c r="J60" s="48">
        <f t="shared" si="0"/>
        <v>965717</v>
      </c>
      <c r="K60" s="48">
        <f t="shared" si="0"/>
        <v>286915</v>
      </c>
    </row>
    <row r="61" spans="1:11" ht="12.75" customHeight="1" x14ac:dyDescent="0.2">
      <c r="A61" s="224" t="s">
        <v>364</v>
      </c>
      <c r="B61" s="224"/>
      <c r="C61" s="224"/>
      <c r="D61" s="224"/>
      <c r="E61" s="224"/>
      <c r="F61" s="224"/>
      <c r="G61" s="12">
        <v>54</v>
      </c>
      <c r="H61" s="48">
        <f>H14+H48+H58+H59</f>
        <v>330680</v>
      </c>
      <c r="I61" s="48">
        <f t="shared" ref="I61:K61" si="1">I14+I48+I58+I59</f>
        <v>99689</v>
      </c>
      <c r="J61" s="48">
        <f t="shared" si="1"/>
        <v>332975</v>
      </c>
      <c r="K61" s="48">
        <f t="shared" si="1"/>
        <v>91137</v>
      </c>
    </row>
    <row r="62" spans="1:11" ht="12.75" customHeight="1" x14ac:dyDescent="0.2">
      <c r="A62" s="224" t="s">
        <v>365</v>
      </c>
      <c r="B62" s="224"/>
      <c r="C62" s="224"/>
      <c r="D62" s="224"/>
      <c r="E62" s="224"/>
      <c r="F62" s="224"/>
      <c r="G62" s="12">
        <v>55</v>
      </c>
      <c r="H62" s="48">
        <f>H60-H61</f>
        <v>502702</v>
      </c>
      <c r="I62" s="48">
        <f t="shared" ref="I62:K62" si="2">I60-I61</f>
        <v>-12290</v>
      </c>
      <c r="J62" s="48">
        <f t="shared" si="2"/>
        <v>632742</v>
      </c>
      <c r="K62" s="48">
        <f t="shared" si="2"/>
        <v>195778</v>
      </c>
    </row>
    <row r="63" spans="1:11" ht="12.75" customHeight="1" x14ac:dyDescent="0.2">
      <c r="A63" s="229" t="s">
        <v>366</v>
      </c>
      <c r="B63" s="229"/>
      <c r="C63" s="229"/>
      <c r="D63" s="229"/>
      <c r="E63" s="229"/>
      <c r="F63" s="229"/>
      <c r="G63" s="12">
        <v>56</v>
      </c>
      <c r="H63" s="48">
        <f>+IF((H60-H61)&gt;0,(H60-H61),0)</f>
        <v>502702</v>
      </c>
      <c r="I63" s="48">
        <f t="shared" ref="I63:K63" si="3">+IF((I60-I61)&gt;0,(I60-I61),0)</f>
        <v>0</v>
      </c>
      <c r="J63" s="48">
        <f t="shared" si="3"/>
        <v>632742</v>
      </c>
      <c r="K63" s="48">
        <f t="shared" si="3"/>
        <v>195778</v>
      </c>
    </row>
    <row r="64" spans="1:11" ht="12.75" customHeight="1" x14ac:dyDescent="0.2">
      <c r="A64" s="229" t="s">
        <v>367</v>
      </c>
      <c r="B64" s="229"/>
      <c r="C64" s="229"/>
      <c r="D64" s="229"/>
      <c r="E64" s="229"/>
      <c r="F64" s="229"/>
      <c r="G64" s="12">
        <v>57</v>
      </c>
      <c r="H64" s="48">
        <f>+IF((H60-H61)&lt;0,(H60-H61),0)</f>
        <v>0</v>
      </c>
      <c r="I64" s="48">
        <f t="shared" ref="I64:K64" si="4">+IF((I60-I61)&lt;0,(I60-I61),0)</f>
        <v>-12290</v>
      </c>
      <c r="J64" s="48">
        <f t="shared" si="4"/>
        <v>0</v>
      </c>
      <c r="K64" s="48">
        <f t="shared" si="4"/>
        <v>0</v>
      </c>
    </row>
    <row r="65" spans="1:11" ht="12.75" customHeight="1" x14ac:dyDescent="0.2">
      <c r="A65" s="230" t="s">
        <v>111</v>
      </c>
      <c r="B65" s="230"/>
      <c r="C65" s="230"/>
      <c r="D65" s="230"/>
      <c r="E65" s="230"/>
      <c r="F65" s="230"/>
      <c r="G65" s="11">
        <v>58</v>
      </c>
      <c r="H65" s="49">
        <v>50270</v>
      </c>
      <c r="I65" s="49">
        <v>-1289</v>
      </c>
      <c r="J65" s="49">
        <v>63274</v>
      </c>
      <c r="K65" s="49">
        <f>63274-43696</f>
        <v>19578</v>
      </c>
    </row>
    <row r="66" spans="1:11" ht="12.75" customHeight="1" x14ac:dyDescent="0.2">
      <c r="A66" s="224" t="s">
        <v>368</v>
      </c>
      <c r="B66" s="224"/>
      <c r="C66" s="224"/>
      <c r="D66" s="224"/>
      <c r="E66" s="224"/>
      <c r="F66" s="224"/>
      <c r="G66" s="12">
        <v>59</v>
      </c>
      <c r="H66" s="48">
        <f>H62-H65</f>
        <v>452432</v>
      </c>
      <c r="I66" s="48">
        <f t="shared" ref="I66:K66" si="5">I62-I65</f>
        <v>-11001</v>
      </c>
      <c r="J66" s="48">
        <f t="shared" si="5"/>
        <v>569468</v>
      </c>
      <c r="K66" s="48">
        <f t="shared" si="5"/>
        <v>176200</v>
      </c>
    </row>
    <row r="67" spans="1:11" ht="12.75" customHeight="1" x14ac:dyDescent="0.2">
      <c r="A67" s="229" t="s">
        <v>369</v>
      </c>
      <c r="B67" s="229"/>
      <c r="C67" s="229"/>
      <c r="D67" s="229"/>
      <c r="E67" s="229"/>
      <c r="F67" s="229"/>
      <c r="G67" s="12">
        <v>60</v>
      </c>
      <c r="H67" s="48">
        <f>+IF((H62-H65)&gt;0,(H62-H65),0)</f>
        <v>452432</v>
      </c>
      <c r="I67" s="48">
        <f t="shared" ref="I67:K67" si="6">+IF((I62-I65)&gt;0,(I62-I65),0)</f>
        <v>0</v>
      </c>
      <c r="J67" s="48">
        <f t="shared" si="6"/>
        <v>569468</v>
      </c>
      <c r="K67" s="48">
        <f t="shared" si="6"/>
        <v>176200</v>
      </c>
    </row>
    <row r="68" spans="1:11" ht="12.75" customHeight="1" x14ac:dyDescent="0.2">
      <c r="A68" s="229" t="s">
        <v>370</v>
      </c>
      <c r="B68" s="229"/>
      <c r="C68" s="229"/>
      <c r="D68" s="229"/>
      <c r="E68" s="229"/>
      <c r="F68" s="229"/>
      <c r="G68" s="12">
        <v>61</v>
      </c>
      <c r="H68" s="48">
        <f>+IF((H62-H65)&lt;0,(H62-H65),0)</f>
        <v>0</v>
      </c>
      <c r="I68" s="48">
        <f t="shared" ref="I68:K68" si="7">+IF((I62-I65)&lt;0,(I62-I65),0)</f>
        <v>-11001</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452432</v>
      </c>
      <c r="I89" s="52">
        <v>-11001</v>
      </c>
      <c r="J89" s="52">
        <v>569468</v>
      </c>
      <c r="K89" s="52">
        <v>176200</v>
      </c>
    </row>
    <row r="90" spans="1:11" ht="24" customHeight="1" x14ac:dyDescent="0.2">
      <c r="A90" s="192" t="s">
        <v>437</v>
      </c>
      <c r="B90" s="192"/>
      <c r="C90" s="192"/>
      <c r="D90" s="192"/>
      <c r="E90" s="192"/>
      <c r="F90" s="192"/>
      <c r="G90" s="12">
        <v>79</v>
      </c>
      <c r="H90" s="69">
        <f>H91+H98</f>
        <v>52583</v>
      </c>
      <c r="I90" s="69">
        <f>I91+I98</f>
        <v>7066</v>
      </c>
      <c r="J90" s="69">
        <f t="shared" ref="J90:K90" si="8">J91+J98</f>
        <v>61256</v>
      </c>
      <c r="K90" s="69">
        <f t="shared" si="8"/>
        <v>15920</v>
      </c>
    </row>
    <row r="91" spans="1:11" ht="24" customHeight="1" x14ac:dyDescent="0.2">
      <c r="A91" s="239" t="s">
        <v>444</v>
      </c>
      <c r="B91" s="239"/>
      <c r="C91" s="239"/>
      <c r="D91" s="239"/>
      <c r="E91" s="239"/>
      <c r="F91" s="239"/>
      <c r="G91" s="12">
        <v>80</v>
      </c>
      <c r="H91" s="69">
        <f>SUM(H92:H96)</f>
        <v>52583</v>
      </c>
      <c r="I91" s="69">
        <f>SUM(I92:I96)</f>
        <v>7066</v>
      </c>
      <c r="J91" s="69">
        <f t="shared" ref="J91:K91" si="9">SUM(J92:J96)</f>
        <v>61256</v>
      </c>
      <c r="K91" s="69">
        <f t="shared" si="9"/>
        <v>15920</v>
      </c>
    </row>
    <row r="92" spans="1:11" ht="25.5" customHeight="1" x14ac:dyDescent="0.2">
      <c r="A92" s="228" t="s">
        <v>382</v>
      </c>
      <c r="B92" s="228"/>
      <c r="C92" s="228"/>
      <c r="D92" s="228"/>
      <c r="E92" s="228"/>
      <c r="F92" s="228"/>
      <c r="G92" s="12">
        <v>81</v>
      </c>
      <c r="H92" s="52">
        <v>52583</v>
      </c>
      <c r="I92" s="52">
        <v>7066</v>
      </c>
      <c r="J92" s="52">
        <v>61256</v>
      </c>
      <c r="K92" s="52">
        <v>15920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52583</v>
      </c>
      <c r="I108" s="69">
        <f>I91+I98-I107-I97</f>
        <v>7066</v>
      </c>
      <c r="J108" s="69">
        <f t="shared" ref="J108:K108" si="11">J91+J98-J107-J97</f>
        <v>61256</v>
      </c>
      <c r="K108" s="69">
        <f t="shared" si="11"/>
        <v>15920</v>
      </c>
    </row>
    <row r="109" spans="1:11" ht="12.75" customHeight="1" x14ac:dyDescent="0.2">
      <c r="A109" s="192" t="s">
        <v>393</v>
      </c>
      <c r="B109" s="192"/>
      <c r="C109" s="192"/>
      <c r="D109" s="192"/>
      <c r="E109" s="192"/>
      <c r="F109" s="192"/>
      <c r="G109" s="12">
        <v>98</v>
      </c>
      <c r="H109" s="51">
        <f>H89+H108</f>
        <v>505015</v>
      </c>
      <c r="I109" s="51">
        <f>I89+I108</f>
        <v>-3935</v>
      </c>
      <c r="J109" s="51">
        <f t="shared" ref="J109:K109" si="12">J89+J108</f>
        <v>630724</v>
      </c>
      <c r="K109" s="51">
        <f t="shared" si="12"/>
        <v>192120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7" zoomScale="85" zoomScaleNormal="100" zoomScaleSheetLayoutView="85" workbookViewId="0">
      <selection activeCell="I11" sqref="I1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466</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464</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452432</v>
      </c>
      <c r="I8" s="64">
        <v>632742</v>
      </c>
    </row>
    <row r="9" spans="1:9" ht="12.75" customHeight="1" x14ac:dyDescent="0.2">
      <c r="A9" s="248" t="s">
        <v>171</v>
      </c>
      <c r="B9" s="248"/>
      <c r="C9" s="248"/>
      <c r="D9" s="248"/>
      <c r="E9" s="248"/>
      <c r="F9" s="248"/>
      <c r="G9" s="65">
        <v>2</v>
      </c>
      <c r="H9" s="66">
        <f>H10+H11+H12+H13+H14+H15+H16+H17</f>
        <v>795002</v>
      </c>
      <c r="I9" s="66">
        <f>I10+I11+I12+I13+I14+I15+I16+I17</f>
        <v>1219594</v>
      </c>
    </row>
    <row r="10" spans="1:9" ht="12.75" customHeight="1" x14ac:dyDescent="0.2">
      <c r="A10" s="225" t="s">
        <v>172</v>
      </c>
      <c r="B10" s="225"/>
      <c r="C10" s="225"/>
      <c r="D10" s="225"/>
      <c r="E10" s="225"/>
      <c r="F10" s="225"/>
      <c r="G10" s="63">
        <v>3</v>
      </c>
      <c r="H10" s="64">
        <v>24818</v>
      </c>
      <c r="I10" s="64">
        <v>25041</v>
      </c>
    </row>
    <row r="11" spans="1:9" ht="22.15" customHeight="1" x14ac:dyDescent="0.2">
      <c r="A11" s="225" t="s">
        <v>173</v>
      </c>
      <c r="B11" s="225"/>
      <c r="C11" s="225"/>
      <c r="D11" s="225"/>
      <c r="E11" s="225"/>
      <c r="F11" s="225"/>
      <c r="G11" s="63">
        <v>4</v>
      </c>
      <c r="H11" s="64">
        <v>712675</v>
      </c>
      <c r="I11" s="64">
        <v>1194553</v>
      </c>
    </row>
    <row r="12" spans="1:9" ht="23.45" customHeight="1" x14ac:dyDescent="0.2">
      <c r="A12" s="225" t="s">
        <v>174</v>
      </c>
      <c r="B12" s="225"/>
      <c r="C12" s="225"/>
      <c r="D12" s="225"/>
      <c r="E12" s="225"/>
      <c r="F12" s="225"/>
      <c r="G12" s="63">
        <v>5</v>
      </c>
      <c r="H12" s="64">
        <v>57509</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1247434</v>
      </c>
      <c r="I18" s="66">
        <f>I8+I9</f>
        <v>1852336</v>
      </c>
    </row>
    <row r="19" spans="1:9" ht="12.75" customHeight="1" x14ac:dyDescent="0.2">
      <c r="A19" s="248" t="s">
        <v>180</v>
      </c>
      <c r="B19" s="248"/>
      <c r="C19" s="248"/>
      <c r="D19" s="248"/>
      <c r="E19" s="248"/>
      <c r="F19" s="248"/>
      <c r="G19" s="65">
        <v>12</v>
      </c>
      <c r="H19" s="66">
        <f>H20+H21+H22+H23</f>
        <v>-51490</v>
      </c>
      <c r="I19" s="66">
        <f>I20+I21+I22+I23</f>
        <v>-45970</v>
      </c>
    </row>
    <row r="20" spans="1:9" ht="12.75" customHeight="1" x14ac:dyDescent="0.2">
      <c r="A20" s="225" t="s">
        <v>181</v>
      </c>
      <c r="B20" s="225"/>
      <c r="C20" s="225"/>
      <c r="D20" s="225"/>
      <c r="E20" s="225"/>
      <c r="F20" s="225"/>
      <c r="G20" s="63">
        <v>13</v>
      </c>
      <c r="H20" s="64">
        <v>9811</v>
      </c>
      <c r="I20" s="64">
        <v>31583</v>
      </c>
    </row>
    <row r="21" spans="1:9" ht="12.75" customHeight="1" x14ac:dyDescent="0.2">
      <c r="A21" s="225" t="s">
        <v>182</v>
      </c>
      <c r="B21" s="225"/>
      <c r="C21" s="225"/>
      <c r="D21" s="225"/>
      <c r="E21" s="225"/>
      <c r="F21" s="225"/>
      <c r="G21" s="63">
        <v>14</v>
      </c>
      <c r="H21" s="64">
        <v>-61301</v>
      </c>
      <c r="I21" s="64">
        <v>-77553</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1195944</v>
      </c>
      <c r="I24" s="66">
        <f>I18+I19</f>
        <v>1806366</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1195944</v>
      </c>
      <c r="I27" s="66">
        <f>I24+I25+I26</f>
        <v>1806366</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47543</v>
      </c>
    </row>
    <row r="35" spans="1:9" ht="26.45" customHeight="1" x14ac:dyDescent="0.2">
      <c r="A35" s="247" t="s">
        <v>196</v>
      </c>
      <c r="B35" s="247"/>
      <c r="C35" s="247"/>
      <c r="D35" s="247"/>
      <c r="E35" s="247"/>
      <c r="F35" s="247"/>
      <c r="G35" s="65">
        <v>27</v>
      </c>
      <c r="H35" s="68">
        <f>H29+H30+H31+H32+H33+H34</f>
        <v>0</v>
      </c>
      <c r="I35" s="68">
        <f>I29+I30+I31+I32+I33+I34</f>
        <v>47543</v>
      </c>
    </row>
    <row r="36" spans="1:9" ht="22.9" customHeight="1" x14ac:dyDescent="0.2">
      <c r="A36" s="190" t="s">
        <v>197</v>
      </c>
      <c r="B36" s="190"/>
      <c r="C36" s="190"/>
      <c r="D36" s="190"/>
      <c r="E36" s="190"/>
      <c r="F36" s="190"/>
      <c r="G36" s="63">
        <v>28</v>
      </c>
      <c r="H36" s="67">
        <v>-975165</v>
      </c>
      <c r="I36" s="67">
        <v>-860517</v>
      </c>
    </row>
    <row r="37" spans="1:9" ht="12.75" customHeight="1" x14ac:dyDescent="0.2">
      <c r="A37" s="190" t="s">
        <v>198</v>
      </c>
      <c r="B37" s="190"/>
      <c r="C37" s="190"/>
      <c r="D37" s="190"/>
      <c r="E37" s="190"/>
      <c r="F37" s="190"/>
      <c r="G37" s="63">
        <v>29</v>
      </c>
      <c r="H37" s="67">
        <v>-36150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-1250</v>
      </c>
      <c r="I39" s="67">
        <v>-3750</v>
      </c>
    </row>
    <row r="40" spans="1:9" ht="12.75" customHeight="1" x14ac:dyDescent="0.2">
      <c r="A40" s="190" t="s">
        <v>201</v>
      </c>
      <c r="B40" s="190"/>
      <c r="C40" s="190"/>
      <c r="D40" s="190"/>
      <c r="E40" s="190"/>
      <c r="F40" s="190"/>
      <c r="G40" s="63">
        <v>32</v>
      </c>
      <c r="H40" s="67">
        <v>-123531</v>
      </c>
      <c r="I40" s="67">
        <v>0</v>
      </c>
    </row>
    <row r="41" spans="1:9" ht="24" customHeight="1" x14ac:dyDescent="0.2">
      <c r="A41" s="247" t="s">
        <v>202</v>
      </c>
      <c r="B41" s="247"/>
      <c r="C41" s="247"/>
      <c r="D41" s="247"/>
      <c r="E41" s="247"/>
      <c r="F41" s="247"/>
      <c r="G41" s="65">
        <v>33</v>
      </c>
      <c r="H41" s="68">
        <f>H36+H37+H38+H39+H40</f>
        <v>-1136096</v>
      </c>
      <c r="I41" s="68">
        <f>I36+I37+I38+I39+I40</f>
        <v>-864267</v>
      </c>
    </row>
    <row r="42" spans="1:9" ht="29.45" customHeight="1" x14ac:dyDescent="0.2">
      <c r="A42" s="252" t="s">
        <v>203</v>
      </c>
      <c r="B42" s="252"/>
      <c r="C42" s="252"/>
      <c r="D42" s="252"/>
      <c r="E42" s="252"/>
      <c r="F42" s="252"/>
      <c r="G42" s="65">
        <v>34</v>
      </c>
      <c r="H42" s="68">
        <f>H35+H41</f>
        <v>-1136096</v>
      </c>
      <c r="I42" s="68">
        <f>I35+I41</f>
        <v>-816724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9500</v>
      </c>
    </row>
    <row r="48" spans="1:9" ht="22.15" customHeight="1" x14ac:dyDescent="0.2">
      <c r="A48" s="247" t="s">
        <v>209</v>
      </c>
      <c r="B48" s="247"/>
      <c r="C48" s="247"/>
      <c r="D48" s="247"/>
      <c r="E48" s="247"/>
      <c r="F48" s="247"/>
      <c r="G48" s="65">
        <v>39</v>
      </c>
      <c r="H48" s="68">
        <f>H44+H45+H46+H47</f>
        <v>0</v>
      </c>
      <c r="I48" s="68">
        <f>I44+I45+I46+I47</f>
        <v>9500</v>
      </c>
    </row>
    <row r="49" spans="1:9" ht="24.6" customHeight="1" x14ac:dyDescent="0.2">
      <c r="A49" s="190" t="s">
        <v>305</v>
      </c>
      <c r="B49" s="190"/>
      <c r="C49" s="190"/>
      <c r="D49" s="190"/>
      <c r="E49" s="190"/>
      <c r="F49" s="190"/>
      <c r="G49" s="63">
        <v>40</v>
      </c>
      <c r="H49" s="67">
        <v>-126365</v>
      </c>
      <c r="I49" s="67">
        <v>-449819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-126365</v>
      </c>
      <c r="I54" s="68">
        <f>I49+I50+I51+I52+I53</f>
        <v>-449819</v>
      </c>
    </row>
    <row r="55" spans="1:9" ht="29.45" customHeight="1" x14ac:dyDescent="0.2">
      <c r="A55" s="252" t="s">
        <v>215</v>
      </c>
      <c r="B55" s="252"/>
      <c r="C55" s="252"/>
      <c r="D55" s="252"/>
      <c r="E55" s="252"/>
      <c r="F55" s="252"/>
      <c r="G55" s="65">
        <v>46</v>
      </c>
      <c r="H55" s="68">
        <f>H48+H54</f>
        <v>-126365</v>
      </c>
      <c r="I55" s="68">
        <f>I48+I54</f>
        <v>-440319</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-66517</v>
      </c>
      <c r="I57" s="68">
        <f>I27+I42+I55+I56</f>
        <v>549323</v>
      </c>
    </row>
    <row r="58" spans="1:9" x14ac:dyDescent="0.2">
      <c r="A58" s="253" t="s">
        <v>218</v>
      </c>
      <c r="B58" s="253"/>
      <c r="C58" s="253"/>
      <c r="D58" s="253"/>
      <c r="E58" s="253"/>
      <c r="F58" s="253"/>
      <c r="G58" s="63">
        <v>49</v>
      </c>
      <c r="H58" s="67">
        <v>81482</v>
      </c>
      <c r="I58" s="67">
        <v>14965</v>
      </c>
    </row>
    <row r="59" spans="1:9" ht="31.15" customHeight="1" x14ac:dyDescent="0.2">
      <c r="A59" s="252" t="s">
        <v>219</v>
      </c>
      <c r="B59" s="252"/>
      <c r="C59" s="252"/>
      <c r="D59" s="252"/>
      <c r="E59" s="252"/>
      <c r="F59" s="252"/>
      <c r="G59" s="65">
        <v>50</v>
      </c>
      <c r="H59" s="68">
        <f>H57+H58</f>
        <v>14965</v>
      </c>
      <c r="I59" s="68">
        <f>I57+I58</f>
        <v>564288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28" zoomScale="80" zoomScaleNormal="100" zoomScaleSheetLayoutView="80" workbookViewId="0">
      <selection activeCell="U54" sqref="U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477802</v>
      </c>
      <c r="I7" s="33">
        <v>2835358</v>
      </c>
      <c r="J7" s="33">
        <v>23890</v>
      </c>
      <c r="K7" s="33">
        <v>0</v>
      </c>
      <c r="L7" s="33">
        <v>0</v>
      </c>
      <c r="M7" s="33">
        <v>0</v>
      </c>
      <c r="N7" s="33">
        <v>0</v>
      </c>
      <c r="O7" s="33">
        <v>-522491</v>
      </c>
      <c r="P7" s="33">
        <v>0</v>
      </c>
      <c r="Q7" s="33">
        <v>0</v>
      </c>
      <c r="R7" s="33">
        <v>0</v>
      </c>
      <c r="S7" s="33">
        <v>0</v>
      </c>
      <c r="T7" s="33">
        <v>0</v>
      </c>
      <c r="U7" s="33">
        <v>188440</v>
      </c>
      <c r="V7" s="33">
        <v>0</v>
      </c>
      <c r="W7" s="34">
        <f>H7+I7+J7+K7-L7+M7+N7+O7+P7+Q7+R7+U7+V7+S7+T7</f>
        <v>3002999</v>
      </c>
      <c r="X7" s="33">
        <v>0</v>
      </c>
      <c r="Y7" s="34">
        <f>W7+X7</f>
        <v>3002999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477802</v>
      </c>
      <c r="I10" s="34">
        <f t="shared" ref="I10:Y10" si="2">I7+I8+I9</f>
        <v>2835358</v>
      </c>
      <c r="J10" s="34">
        <f t="shared" si="2"/>
        <v>23890</v>
      </c>
      <c r="K10" s="34">
        <f>K7+K8+K9</f>
        <v>0</v>
      </c>
      <c r="L10" s="34">
        <f t="shared" si="2"/>
        <v>0</v>
      </c>
      <c r="M10" s="34">
        <f t="shared" si="2"/>
        <v>0</v>
      </c>
      <c r="N10" s="34">
        <f t="shared" si="2"/>
        <v>0</v>
      </c>
      <c r="O10" s="34">
        <f t="shared" si="2"/>
        <v>-522491</v>
      </c>
      <c r="P10" s="34">
        <f t="shared" si="2"/>
        <v>0</v>
      </c>
      <c r="Q10" s="34">
        <f t="shared" si="2"/>
        <v>0</v>
      </c>
      <c r="R10" s="34">
        <f t="shared" si="2"/>
        <v>0</v>
      </c>
      <c r="S10" s="34">
        <f t="shared" si="2"/>
        <v>0</v>
      </c>
      <c r="T10" s="34">
        <f t="shared" si="2"/>
        <v>0</v>
      </c>
      <c r="U10" s="34">
        <f t="shared" si="2"/>
        <v>188440</v>
      </c>
      <c r="V10" s="34">
        <f t="shared" si="2"/>
        <v>0</v>
      </c>
      <c r="W10" s="34">
        <f t="shared" si="2"/>
        <v>3002999</v>
      </c>
      <c r="X10" s="34">
        <f t="shared" si="2"/>
        <v>0</v>
      </c>
      <c r="Y10" s="34">
        <f t="shared" si="2"/>
        <v>3002999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52764</v>
      </c>
      <c r="P13" s="35">
        <v>0</v>
      </c>
      <c r="Q13" s="35">
        <v>0</v>
      </c>
      <c r="R13" s="35">
        <v>0</v>
      </c>
      <c r="S13" s="33">
        <v>0</v>
      </c>
      <c r="T13" s="33">
        <v>0</v>
      </c>
      <c r="U13" s="33">
        <v>0</v>
      </c>
      <c r="V13" s="33">
        <v>0</v>
      </c>
      <c r="W13" s="34">
        <f t="shared" si="3"/>
        <v>52764</v>
      </c>
      <c r="X13" s="33">
        <v>0</v>
      </c>
      <c r="Y13" s="34">
        <f t="shared" si="4"/>
        <v>52764</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522198</v>
      </c>
      <c r="I19" s="33">
        <v>-522198</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546200</v>
      </c>
      <c r="V28" s="33">
        <v>451016</v>
      </c>
      <c r="W28" s="34">
        <f t="shared" si="3"/>
        <v>997216</v>
      </c>
      <c r="X28" s="33">
        <v>0</v>
      </c>
      <c r="Y28" s="34">
        <f t="shared" si="4"/>
        <v>997216</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-469727</v>
      </c>
      <c r="P30" s="36">
        <f t="shared" si="5"/>
        <v>0</v>
      </c>
      <c r="Q30" s="36">
        <f t="shared" si="5"/>
        <v>0</v>
      </c>
      <c r="R30" s="36">
        <f t="shared" si="5"/>
        <v>0</v>
      </c>
      <c r="S30" s="36">
        <f t="shared" si="5"/>
        <v>0</v>
      </c>
      <c r="T30" s="36">
        <f t="shared" si="5"/>
        <v>0</v>
      </c>
      <c r="U30" s="36">
        <f t="shared" si="5"/>
        <v>734640</v>
      </c>
      <c r="V30" s="36">
        <f t="shared" si="5"/>
        <v>451016</v>
      </c>
      <c r="W30" s="36">
        <f t="shared" si="5"/>
        <v>4052979</v>
      </c>
      <c r="X30" s="36">
        <f t="shared" si="5"/>
        <v>0</v>
      </c>
      <c r="Y30" s="36">
        <f t="shared" si="5"/>
        <v>4052979</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522198</v>
      </c>
      <c r="I32" s="34">
        <f t="shared" ref="I32:Y32" si="6">SUM(I12:I20)</f>
        <v>-522198</v>
      </c>
      <c r="J32" s="34">
        <f t="shared" si="6"/>
        <v>0</v>
      </c>
      <c r="K32" s="34">
        <f t="shared" si="6"/>
        <v>0</v>
      </c>
      <c r="L32" s="34">
        <f t="shared" si="6"/>
        <v>0</v>
      </c>
      <c r="M32" s="34">
        <f t="shared" si="6"/>
        <v>0</v>
      </c>
      <c r="N32" s="34">
        <f t="shared" si="6"/>
        <v>0</v>
      </c>
      <c r="O32" s="34">
        <f t="shared" si="6"/>
        <v>52764</v>
      </c>
      <c r="P32" s="34">
        <f t="shared" si="6"/>
        <v>0</v>
      </c>
      <c r="Q32" s="34">
        <f t="shared" si="6"/>
        <v>0</v>
      </c>
      <c r="R32" s="34">
        <f t="shared" si="6"/>
        <v>0</v>
      </c>
      <c r="S32" s="34">
        <f t="shared" ref="S32:T32" si="7">SUM(S12:S20)</f>
        <v>0</v>
      </c>
      <c r="T32" s="34">
        <f t="shared" si="7"/>
        <v>0</v>
      </c>
      <c r="U32" s="34">
        <f t="shared" si="6"/>
        <v>0</v>
      </c>
      <c r="V32" s="34">
        <f t="shared" si="6"/>
        <v>0</v>
      </c>
      <c r="W32" s="34">
        <f t="shared" si="6"/>
        <v>52764</v>
      </c>
      <c r="X32" s="34">
        <f t="shared" si="6"/>
        <v>0</v>
      </c>
      <c r="Y32" s="34">
        <f t="shared" si="6"/>
        <v>52764</v>
      </c>
    </row>
    <row r="33" spans="1:25" ht="31.5" customHeight="1" x14ac:dyDescent="0.2">
      <c r="A33" s="299" t="s">
        <v>428</v>
      </c>
      <c r="B33" s="299"/>
      <c r="C33" s="299"/>
      <c r="D33" s="299"/>
      <c r="E33" s="299"/>
      <c r="F33" s="299"/>
      <c r="G33" s="7">
        <v>26</v>
      </c>
      <c r="H33" s="34">
        <f>H11+H32</f>
        <v>522198</v>
      </c>
      <c r="I33" s="34">
        <f t="shared" ref="I33:Y33" si="8">I11+I32</f>
        <v>-522198</v>
      </c>
      <c r="J33" s="34">
        <f t="shared" si="8"/>
        <v>0</v>
      </c>
      <c r="K33" s="34">
        <f t="shared" si="8"/>
        <v>0</v>
      </c>
      <c r="L33" s="34">
        <f t="shared" si="8"/>
        <v>0</v>
      </c>
      <c r="M33" s="34">
        <f t="shared" si="8"/>
        <v>0</v>
      </c>
      <c r="N33" s="34">
        <f t="shared" si="8"/>
        <v>0</v>
      </c>
      <c r="O33" s="34">
        <f t="shared" si="8"/>
        <v>52764</v>
      </c>
      <c r="P33" s="34">
        <f t="shared" si="8"/>
        <v>0</v>
      </c>
      <c r="Q33" s="34">
        <f t="shared" si="8"/>
        <v>0</v>
      </c>
      <c r="R33" s="34">
        <f t="shared" si="8"/>
        <v>0</v>
      </c>
      <c r="S33" s="34">
        <f t="shared" ref="S33:T33" si="9">S11+S32</f>
        <v>0</v>
      </c>
      <c r="T33" s="34">
        <f t="shared" si="9"/>
        <v>0</v>
      </c>
      <c r="U33" s="34">
        <f t="shared" si="8"/>
        <v>0</v>
      </c>
      <c r="V33" s="34">
        <f t="shared" si="8"/>
        <v>0</v>
      </c>
      <c r="W33" s="34">
        <f t="shared" si="8"/>
        <v>52764</v>
      </c>
      <c r="X33" s="34">
        <f t="shared" si="8"/>
        <v>0</v>
      </c>
      <c r="Y33" s="34">
        <f t="shared" si="8"/>
        <v>52764</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546200</v>
      </c>
      <c r="V34" s="36">
        <f t="shared" si="10"/>
        <v>451016</v>
      </c>
      <c r="W34" s="36">
        <f t="shared" si="10"/>
        <v>997216</v>
      </c>
      <c r="X34" s="36">
        <f t="shared" si="10"/>
        <v>0</v>
      </c>
      <c r="Y34" s="36">
        <f t="shared" si="10"/>
        <v>997216</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1000000</v>
      </c>
      <c r="I36" s="33">
        <v>2313160</v>
      </c>
      <c r="J36" s="33">
        <v>23890</v>
      </c>
      <c r="K36" s="33">
        <v>0</v>
      </c>
      <c r="L36" s="33">
        <v>0</v>
      </c>
      <c r="M36" s="33">
        <v>0</v>
      </c>
      <c r="N36" s="33">
        <v>0</v>
      </c>
      <c r="O36" s="33">
        <v>-469727</v>
      </c>
      <c r="P36" s="33">
        <v>0</v>
      </c>
      <c r="Q36" s="33">
        <v>0</v>
      </c>
      <c r="R36" s="33">
        <v>0</v>
      </c>
      <c r="S36" s="33">
        <v>0</v>
      </c>
      <c r="T36" s="33">
        <v>0</v>
      </c>
      <c r="U36" s="33">
        <v>734640</v>
      </c>
      <c r="V36" s="33">
        <v>0</v>
      </c>
      <c r="W36" s="37">
        <f>H36+I36+J36+K36-L36+M36+N36+O36+P36+Q36+R36+U36+V36+S36+T36</f>
        <v>3601963</v>
      </c>
      <c r="X36" s="33">
        <v>0</v>
      </c>
      <c r="Y36" s="37">
        <f t="shared" ref="Y36:Y38" si="12">W36+X36</f>
        <v>3601963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-469727</v>
      </c>
      <c r="P39" s="34">
        <f t="shared" si="14"/>
        <v>0</v>
      </c>
      <c r="Q39" s="34">
        <f t="shared" si="14"/>
        <v>0</v>
      </c>
      <c r="R39" s="34">
        <f t="shared" si="14"/>
        <v>0</v>
      </c>
      <c r="S39" s="34">
        <f t="shared" si="14"/>
        <v>0</v>
      </c>
      <c r="T39" s="34">
        <f t="shared" si="14"/>
        <v>0</v>
      </c>
      <c r="U39" s="34">
        <f t="shared" si="14"/>
        <v>734640</v>
      </c>
      <c r="V39" s="34">
        <f t="shared" si="14"/>
        <v>0</v>
      </c>
      <c r="W39" s="34">
        <f t="shared" si="14"/>
        <v>3601963</v>
      </c>
      <c r="X39" s="34">
        <f t="shared" si="14"/>
        <v>0</v>
      </c>
      <c r="Y39" s="34">
        <f t="shared" si="14"/>
        <v>3601963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61256</v>
      </c>
      <c r="P42" s="35">
        <v>0</v>
      </c>
      <c r="Q42" s="35">
        <v>0</v>
      </c>
      <c r="R42" s="35">
        <v>0</v>
      </c>
      <c r="S42" s="33">
        <v>0</v>
      </c>
      <c r="T42" s="33">
        <v>0</v>
      </c>
      <c r="U42" s="33">
        <v>0</v>
      </c>
      <c r="V42" s="33">
        <v>0</v>
      </c>
      <c r="W42" s="37">
        <f t="shared" si="15"/>
        <v>61256</v>
      </c>
      <c r="X42" s="33">
        <v>0</v>
      </c>
      <c r="Y42" s="37">
        <f t="shared" si="16"/>
        <v>61256</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451016</v>
      </c>
      <c r="V57" s="33">
        <v>569468</v>
      </c>
      <c r="W57" s="37">
        <f t="shared" si="15"/>
        <v>1020484</v>
      </c>
      <c r="X57" s="33">
        <v>0</v>
      </c>
      <c r="Y57" s="37">
        <f t="shared" si="16"/>
        <v>1020484</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-408471</v>
      </c>
      <c r="P59" s="36">
        <f t="shared" si="17"/>
        <v>0</v>
      </c>
      <c r="Q59" s="36">
        <f t="shared" si="17"/>
        <v>0</v>
      </c>
      <c r="R59" s="36">
        <f t="shared" si="17"/>
        <v>0</v>
      </c>
      <c r="S59" s="36">
        <f t="shared" si="17"/>
        <v>0</v>
      </c>
      <c r="T59" s="36">
        <f t="shared" si="17"/>
        <v>0</v>
      </c>
      <c r="U59" s="36">
        <f t="shared" si="17"/>
        <v>1185656</v>
      </c>
      <c r="V59" s="36">
        <f t="shared" si="17"/>
        <v>569468</v>
      </c>
      <c r="W59" s="36">
        <f t="shared" si="17"/>
        <v>4683703</v>
      </c>
      <c r="X59" s="36">
        <f t="shared" si="17"/>
        <v>0</v>
      </c>
      <c r="Y59" s="36">
        <f t="shared" si="17"/>
        <v>4683703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61256</v>
      </c>
      <c r="P61" s="37">
        <f t="shared" si="18"/>
        <v>0</v>
      </c>
      <c r="Q61" s="37">
        <f t="shared" si="18"/>
        <v>0</v>
      </c>
      <c r="R61" s="37">
        <f t="shared" si="18"/>
        <v>0</v>
      </c>
      <c r="S61" s="37">
        <f t="shared" ref="S61:T61" si="19">SUM(S41:S49)</f>
        <v>0</v>
      </c>
      <c r="T61" s="37">
        <f t="shared" si="19"/>
        <v>0</v>
      </c>
      <c r="U61" s="37">
        <f t="shared" si="18"/>
        <v>0</v>
      </c>
      <c r="V61" s="37">
        <f t="shared" si="18"/>
        <v>0</v>
      </c>
      <c r="W61" s="37">
        <f t="shared" si="18"/>
        <v>61256</v>
      </c>
      <c r="X61" s="37">
        <f t="shared" si="18"/>
        <v>0</v>
      </c>
      <c r="Y61" s="37">
        <f t="shared" si="18"/>
        <v>61256</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61256</v>
      </c>
      <c r="P62" s="37">
        <f t="shared" si="20"/>
        <v>0</v>
      </c>
      <c r="Q62" s="37">
        <f t="shared" si="20"/>
        <v>0</v>
      </c>
      <c r="R62" s="37">
        <f t="shared" si="20"/>
        <v>0</v>
      </c>
      <c r="S62" s="37">
        <f t="shared" ref="S62:T62" si="21">S40+S61</f>
        <v>0</v>
      </c>
      <c r="T62" s="37">
        <f t="shared" si="21"/>
        <v>0</v>
      </c>
      <c r="U62" s="37">
        <f t="shared" si="20"/>
        <v>0</v>
      </c>
      <c r="V62" s="37">
        <f t="shared" si="20"/>
        <v>0</v>
      </c>
      <c r="W62" s="37">
        <f t="shared" si="20"/>
        <v>61256</v>
      </c>
      <c r="X62" s="37">
        <f t="shared" si="20"/>
        <v>0</v>
      </c>
      <c r="Y62" s="37">
        <f t="shared" si="20"/>
        <v>61256</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451016</v>
      </c>
      <c r="V63" s="38">
        <f t="shared" si="22"/>
        <v>569468</v>
      </c>
      <c r="W63" s="38">
        <f t="shared" si="22"/>
        <v>1020484</v>
      </c>
      <c r="X63" s="38">
        <f t="shared" si="22"/>
        <v>0</v>
      </c>
      <c r="Y63" s="38">
        <f t="shared" si="22"/>
        <v>1020484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Q23" sqref="Q23"/>
    </sheetView>
  </sheetViews>
  <sheetFormatPr defaultRowHeight="12.75" x14ac:dyDescent="0.2"/>
  <cols>
    <col min="9" max="9" width="95" customWidth="1"/>
  </cols>
  <sheetData>
    <row r="1" spans="1:9" ht="13.1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2025-02-26T09:57:51Z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