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User\SynologyDrive\TerraFirma\Objave financijskih izvještaja\2026\3Q\"/>
    </mc:Choice>
  </mc:AlternateContent>
  <xr:revisionPtr revIDLastSave="0" documentId="13_ncr:1_{26596CB8-5566-440E-B626-0F2A3CCF8689}" xr6:coauthVersionLast="47" xr6:coauthVersionMax="47" xr10:uidLastSave="{00000000-0000-0000-0000-000000000000}"/>
  <bookViews>
    <workbookView xWindow="-28920" yWindow="780" windowWidth="29040" windowHeight="1599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2" i="22" l="1"/>
  <c r="W40" i="22"/>
  <c r="I21" i="20"/>
  <c r="I20" i="20"/>
  <c r="I8" i="20"/>
  <c r="K92" i="26"/>
  <c r="J92" i="26"/>
  <c r="K89" i="26"/>
  <c r="J89" i="26"/>
  <c r="K65" i="26"/>
  <c r="J65" i="26"/>
  <c r="I129" i="18" s="1"/>
  <c r="K55" i="26"/>
  <c r="K51" i="26"/>
  <c r="K49" i="26"/>
  <c r="K46" i="26"/>
  <c r="K44" i="26"/>
  <c r="K41" i="26"/>
  <c r="K25" i="26"/>
  <c r="K24" i="26"/>
  <c r="K23" i="26"/>
  <c r="K22" i="26"/>
  <c r="K21" i="26"/>
  <c r="K19" i="26"/>
  <c r="K17" i="26"/>
  <c r="K13" i="26"/>
  <c r="K10" i="26"/>
  <c r="H36" i="20"/>
  <c r="U36" i="22" l="1"/>
  <c r="T36" i="22"/>
  <c r="S36" i="22"/>
  <c r="R36" i="22"/>
  <c r="Q36" i="22"/>
  <c r="P36" i="22"/>
  <c r="N36" i="22"/>
  <c r="M36" i="22"/>
  <c r="L36" i="22"/>
  <c r="K36" i="22"/>
  <c r="J36" i="22"/>
  <c r="I36" i="22"/>
  <c r="H36" i="22"/>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I96" i="18"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<sst xmlns="http://schemas.openxmlformats.org/spreadsheetml/2006/main" count="536" uniqueCount="470">
  <si>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</si>
  <si>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</si>
  <si>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</si>
  <si>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</si>
  <si>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</si>
  <si>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</si>
  <si>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</si>
  <si>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</si>
  <si>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</si>
  <si>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</si>
  <si>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</si>
  <si>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</si>
  <si>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</si>
  <si>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</si>
  <si>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</si>
  <si>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</si>
  <si>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</si>
  <si>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</si>
  <si>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</si>
  <si>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</si>
  <si>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</si>
  <si>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</si>
  <si>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</si>
  <si>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</si>
  <si>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</si>
  <si>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</si>
  <si>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</si>
  <si>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</si>
  <si>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</si>
  <si>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</si>
  <si>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</si>
  <si>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</si>
  <si>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</si>
  <si>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</si>
  <si>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</si>
  <si>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</si>
  <si>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</si>
  <si>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</si>
  <si>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</si>
  <si>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</si>
  <si>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</si>
  <si>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</si>
  <si>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</si>
  <si>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</si>
  <si>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</si>
  <si>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</si>
  <si>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</si>
  <si>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</si>
  <si>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</si>
  <si>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</si>
  <si>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</si>
  <si>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</si>
  <si>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</si>
  <si>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</si>
  <si>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</si>
  <si>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</si>
  <si>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</si>
  <si>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</si>
  <si>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</si>
  <si>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</si>
  <si>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</si>
  <si>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</si>
  <si>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</si>
  <si>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</si>
  <si>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</si>
  <si>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</si>
  <si>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</si>
  <si>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</si>
  <si>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</si>
  <si>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</si>
  <si>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</si>
  <si>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</si>
  <si>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</si>
  <si>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</si>
  <si>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</si>
  <si>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</si>
  <si>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</si>
  <si>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</si>
  <si>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</si>
  <si>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</si>
  <si>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</si>
  <si>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</si>
  <si>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</si>
  <si>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</si>
  <si>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</si>
  <si>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</si>
  <si>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</si>
  <si>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</si>
  <si>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</si>
  <si>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</si>
  <si>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</si>
  <si>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</si>
  <si>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</si>
  <si>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</si>
  <si>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</si>
  <si>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</si>
  <si>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</si>
  <si>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</si>
  <si>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</si>
  <si>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</si>
  <si>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</si>
  <si>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</si>
  <si>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</si>
  <si>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</si>
  <si>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</si>
  <si>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</si>
  <si>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</si>
  <si>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</si>
  <si>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</si>
  <si>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</si>
  <si>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</si>
  <si>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</si>
  <si>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</si>
  <si>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</si>
  <si>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</si>
  <si>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</si>
  <si>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</si>
  <si>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</si>
  <si>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</si>
  <si>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</si>
  <si>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</si>
  <si>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</si>
  <si>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</si>
  <si>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</si>
  <si>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</si>
  <si>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</si>
  <si>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</si>
  <si>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</si>
  <si>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</si>
  <si>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</si>
  <si>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</si>
  <si>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</si>
  <si>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</si>
  <si>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</si>
  <si>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</si>
  <si>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</si>
  <si>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</si>
  <si>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</si>
  <si>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</si>
  <si>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</si>
  <si>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</si>
  <si>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</si>
  <si>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</si>
  <si>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</si>
  <si>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</si>
  <si>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</si>
  <si>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</si>
  <si>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</si>
  <si>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</si>
  <si>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</si>
  <si>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</si>
  <si>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</si>
  <si>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</si>
  <si>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</si>
  <si>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</si>
  <si>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</si>
  <si>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</si>
  <si>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</si>
  <si>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</si>
  <si>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</si>
  <si>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</si>
  <si>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</si>
  <si>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</si>
  <si>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</si>
  <si>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</si>
  <si>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</si>
  <si>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</si>
  <si>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</si>
  <si>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</si>
  <si>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</si>
  <si>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</si>
  <si>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</si>
  <si>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</si>
  <si>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</si>
  <si>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</si>
  <si>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</si>
  <si>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</si>
  <si>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</si>
  <si>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</si>
  <si>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</si>
  <si>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</si>
  <si>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</si>
  <si>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</si>
  <si>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</si>
  <si>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</si>
  <si>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</si>
  <si>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</si>
  <si>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</si>
  <si>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</si>
  <si>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</si>
  <si>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</si>
  <si>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</si>
  <si>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</si>
  <si>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</si>
  <si>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</si>
  <si>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</si>
  <si>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</si>
  <si>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</si>
  <si>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</si>
  <si>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</si>
  <si>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</si>
  <si>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</si>
  <si>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</si>
  <si>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</si>
  <si>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</si>
  <si>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</si>
  <si>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</si>
  <si>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</si>
  <si>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</si>
  <si>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</si>
  <si>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</si>
  <si>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</si>
  <si>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</si>
  <si>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</si>
  <si>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</si>
  <si>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</si>
  <si>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</si>
  <si>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</si>
  <si>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</si>
  <si>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</si>
  <si>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</si>
  <si>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</si>
  <si>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</si>
  <si>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</si>
  <si>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</si>
  <si>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</si>
  <si>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</si>
  <si>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</si>
  <si>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</si>
  <si>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</si>
  <si>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</si>
  <si>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</si>
  <si>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</si>
  <si>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</si>
  <si>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</si>
  <si>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</si>
  <si>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</si>
  <si>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</si>
  <si>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</si>
  <si>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</si>
  <si>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</si>
  <si>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</si>
  <si>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</si>
  <si>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</si>
  <si>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</si>
  <si>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</si>
  <si>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</si>
  <si>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</si>
  <si>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</si>
  <si>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</si>
  <si>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</si>
  <si>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</si>
  <si>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</si>
  <si>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</si>
  <si>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</si>
  <si>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</si>
  <si>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</si>
  <si>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</si>
  <si>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</si>
  <si>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</si>
  <si>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</si>
  <si>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</si>
  <si>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</si>
  <si>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</si>
  <si>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</si>
  <si>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</si>
  <si>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</si>
  <si>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</si>
  <si>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</si>
  <si>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</si>
  <si>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</si>
  <si>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</si>
  <si>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</si>
  <si>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</si>
  <si>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</si>
  <si>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</si>
  <si>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</si>
  <si>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</si>
  <si>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</si>
  <si>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</si>
  <si>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</si>
  <si>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</si>
  <si>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</si>
  <si>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</si>
  <si>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</si>
  <si>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</si>
  <si>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</si>
  <si>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</si>
  <si>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</si>
  <si>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</si>
  <si>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</si>
  <si>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</si>
  <si>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</si>
  <si>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</si>
  <si>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</si>
  <si>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</si>
  <si>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</si>
  <si>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</si>
  <si>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</si>
  <si>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</si>
  <si>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</si>
  <si>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</si>
  <si>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</si>
  <si>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</si>
  <si>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</si>
  <si>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</si>
  <si>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</si>
  <si>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</si>
  <si>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</si>
  <si>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</si>
  <si>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</si>
  <si>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</si>
  <si>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</si>
  <si>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</si>
  <si>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</si>
  <si>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</si>
  <si>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</si>
  <si>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</si>
  <si>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</si>
  <si>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</si>
  <si>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</si>
  <si>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</si>
  <si>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</si>
  <si>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</si>
  <si>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</si>
  <si>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</si>
  <si>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</si>
  <si>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</si>
  <si>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</si>
  <si>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</si>
  <si>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</si>
  <si>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</si>
  <si>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</si>
  <si>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</si>
  <si>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</si>
  <si>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</si>
  <si>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</si>
  <si>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</si>
  <si>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</si>
  <si>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</si>
  <si>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</si>
  <si>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</si>
  <si>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</si>
  <si>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</si>
  <si>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</si>
  <si>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</si>
  <si>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</si>
  <si>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</si>
  <si>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</si>
  <si>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</si>
  <si>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</si>
  <si>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</si>
  <si>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</si>
  <si>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</si>
  <si>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</si>
  <si>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</si>
  <si>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</si>
  <si>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</si>
  <si>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</si>
  <si>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</si>
  <si>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</si>
  <si>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</si>
  <si>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</si>
  <si>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</si>
  <si>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</si>
  <si>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</si>
  <si>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</si>
  <si>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</si>
  <si>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</si>
  <si>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</si>
  <si>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</si>
  <si>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</si>
  <si>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</si>
  <si>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</si>
  <si>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</si>
  <si>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</si>
  <si>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</si>
  <si>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</si>
  <si>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</si>
  <si>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</si>
  <si>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</si>
  <si>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</si>
  <si>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</si>
  <si>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</si>
  <si>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</si>
  <si>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</si>
  <si>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</si>
  <si>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</si>
  <si>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</si>
  <si>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</si>
  <si>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</si>
  <si>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</si>
  <si>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</si>
  <si>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</si>
  <si>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</si>
  <si>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</si>
  <si>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</si>
  <si>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</si>
  <si>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</si>
  <si>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</si>
  <si>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</si>
  <si>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</si>
  <si>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</si>
  <si>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</si>
  <si>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</si>
  <si>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</si>
  <si>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</si>
  <si>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</si>
  <si>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</si>
  <si>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</si>
  <si>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</si>
  <si>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</si>
  <si>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</si>
  <si>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</si>
  <si>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</si>
  <si>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</si>
  <si>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</si>
  <si>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</si>
  <si>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</si>
  <si>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</si>
  <si>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</si>
  <si>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</si>
  <si>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</si>
  <si>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</si>
  <si>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</si>
  <si>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</si>
  <si>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</si>
  <si>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</si>
  <si>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</si>
  <si>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</si>
  <si>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</si>
  <si>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</si>
  <si>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</si>
  <si>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</si>
  <si>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</si>
  <si>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</si>
  <si>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</si>
  <si>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</si>
  <si>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</si>
  <si>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</si>
  <si>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</si>
  <si>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</si>
  <si>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</si>
  <si>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</si>
  <si>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</si>
  <si>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</si>
  <si>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</si>
  <si>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</si>
  <si>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</si>
  <si>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</si>
  <si>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</si>
  <si>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01924797</t>
  </si>
  <si>
    <t>HR</t>
  </si>
  <si>
    <t>040211518</t>
  </si>
  <si>
    <t>22198253360</t>
  </si>
  <si>
    <t>3709</t>
  </si>
  <si>
    <t>74780000O06HVTU7F674</t>
  </si>
  <si>
    <t>TERRA FIRMA d.d.</t>
  </si>
  <si>
    <t>Zagreb</t>
  </si>
  <si>
    <t>Ulica Pere Budmanija 3</t>
  </si>
  <si>
    <t>info@terrafirma.hr</t>
  </si>
  <si>
    <t>www.terrafirma.hr</t>
  </si>
  <si>
    <t>Taurus Ulaganja d.o.o.</t>
  </si>
  <si>
    <t>Štengl Lucija</t>
  </si>
  <si>
    <t>091/ 604 3651</t>
  </si>
  <si>
    <t>lucija.stengl@terrafirma.hr</t>
  </si>
  <si>
    <t>Obveznik: TERRA FIRMA d.d.</t>
  </si>
  <si>
    <t>stanje na dan 30.09.2026.</t>
  </si>
  <si>
    <t>u razdoblju 01.01.2026. do 30.09.2026.</t>
  </si>
  <si>
    <r>
      <t xml:space="preserve">BILJEŠKE UZ FINANCIJSKE IZVJEŠTAJE - TFI
(koji se sastavljaju za tromjesečna razdoblja)
Naziv izdavatelja:   TERRA FIRMA d.d.                                                                                                                                                                                                                                                                                                                                 Sjedište: Ulica Pere Budmanija 3, Zagreb 
OIB:  22198253360
Izvještajno razdoblje: 1.1.2026. - 30.09.2026.
Bilješke uz financijske izvještaje za tromjesečna razdoblja uključuju:
a) Objašnjenje poslovnih događaja značajnih za razumijevanje promjena u izvještajima o financijskom položaju i poslovnim rezultatima nalazi se u Izvještaju poslovodstva.                                                                                                                                                                                                           Financijski izvještaji sastavljeni su u skladu s Međunarodnim standardima financijskog izvještavanja (MSFI) koje je usvojila Europska unija (EU), po načelu povijesnog troška izuzevši financijske instrumente koji su iskazani po fer vrijednosti. Podaci su ažurirani u skladu sa prikazom u posljednjem revidiranom godišnjem izvještaju.  Ispodgodišnja financijska izvješća sastavljena su sukladno Mađunarodnom računovodstvenom standardu 34 - Financijsko izvještavanje u toku godine, kojeg je odobrila EU i ne uključuju sve podatke i objave koji su obvezni za godišnje financijske izvještaje te ih se treba čitati zajedno sa revidiranim godišnjim izvješćem.
b) Financijski izvještaji uključujući i posljednja godišnja revidirana izvješća, dostupna su na internet stranicama Društva www.terrafirma.hr, stranicama burze www.zse.hr i Agencije www.hanfa.hr
c) Tijekom tekućeg perioda izvještavanja nije bilo promjene računovodstvene politike.
d) Izdavatelj ne obavlja djelatnost sezonske prirode.
e) Detaljna analiza prihoda i rezultata nalazi se u Izvještaju poslovodstva kao i u nastavku:                                                                                                 		                                                                        PRIHODI OD PRODAJE           30.09.2025.	            30.09.2026.
Dobit od prodaje 	                         866.942	                  141.295
Prihod od zakupa                       175.491                   192.367
	                                               1.042.433                  333.662          			
f) u bilješkama uz financijske izvještaje za tromjesečna razdoblja, osim gore navedenih informacija, objavljuju se i sljedeće informacije:
1. Naziv, sjedište (adresa) izdavatelja, pravni oblik izdavatelja, država osnivanja, matični broj subjekta, osobni identifikacijski broj objavljeni su na stranici Opći podaci u sklopu ovog dokumenta.
2. Promjena računovodstvene politike opisana je u točki c).
3. Financijske obveze po osnovi danih jamstava koje nisu uključene u bilancu nisu materijalno značajne i Uprava vjeruje kako je mogućnost bilo kakvog odljeva po osnovu istih neznatna. Izdavatelj nema obveza po osnovi mirovina iz domene MRS 19.
4. U izvještajnom razdoblju nije bilo stavki prihoda ili rashoda izuzetne veličine ili pojave.
5. Izdavatelj nema dugovanja koja dospijevaju nakon više od pet godina. Na datum bilance nema dugovanja koja su pokrivena vrijednim osiguranjem koje je izdalo Društvo/Grupa.
6. Prosječan broj zaposlenih tijekom izvještajnog razdoblja iznosi 5 (Q3 2025: 5). Izdavatelj ne prati zaposlenike po kategorijama.
7. Nije bilo kapitalizacije plaća u izvještajnom razdoblju.
8. Rezerva za odgođeni prihod nije priznata u financijskim izvještajima, budući da za nju nisu ispunjeni uvjeti za priznavanje prema zahtjevima MSFI-ja.
9. Ovisna društva: Rakalj d.o.o.           - 100% udjela u vlasništvu
                            Terra Tison d.o.o. - 100% udjela u vlasništvu
                            Falarica d.o.o.        - 50% udjela u vlasništvu  
                            Terra West d.o.o. - 50% udjela u vlasništvu 
                            Terra Pharos d.o.o. - 50% udjela u vlasništvu                                                                                                                                                                                                                                                                                                                                                                                    </t>
    </r>
    <r>
      <rPr>
        <sz val="10"/>
        <color theme="0"/>
        <rFont val="Arial"/>
        <family val="2"/>
        <charset val="238"/>
      </rPr>
      <t xml:space="preserve">     _   __            ___ </t>
    </r>
    <r>
      <rPr>
        <sz val="10"/>
        <rFont val="Arial"/>
        <family val="2"/>
        <charset val="238"/>
      </rPr>
      <t xml:space="preserve">  Indigo Centar d.o.o. - 50% udjela u vlasništvu                                                                                                                                                                                                                                                                                                                                      </t>
    </r>
    <r>
      <rPr>
        <sz val="10"/>
        <color theme="0"/>
        <rFont val="Arial"/>
        <family val="2"/>
        <charset val="238"/>
      </rPr>
      <t xml:space="preserve">              _____   _____   _  </t>
    </r>
    <r>
      <rPr>
        <sz val="10"/>
        <rFont val="Arial"/>
        <family val="2"/>
        <charset val="238"/>
      </rPr>
      <t xml:space="preserve"> Taurus Ulaganja d.o.o. - 100% udjela u vlasništvu                                                                                                                                                                                                                                                                                              -                           Terra Properties d.o.o. - 50% udjela u vlasništvu                                                                                                                                                           </t>
    </r>
    <r>
      <rPr>
        <sz val="10"/>
        <color theme="0"/>
        <rFont val="Arial"/>
        <family val="2"/>
        <charset val="238"/>
      </rPr>
      <t xml:space="preserve">   --------------------------------</t>
    </r>
    <r>
      <rPr>
        <sz val="10"/>
        <rFont val="Arial"/>
        <family val="2"/>
        <charset val="238"/>
      </rPr>
      <t>Terra Nard d.o.o. - 100% udjela u vlasništvu  
10. NIje bilo transakcija upisa dionica niti udjela tijekom poslovne godine u okviru odobrenog kapitala.
11. Društvo nema potvrda o sudjelovanju, konvertibilnih zadužnica, jamstava, opcija ili sličnih vrijednosnica ili prava.
12. Društvo nema udjela u društvima s neograničenom odgovornosti.
13. Izdavatelj je krajnja matica te nije kontrolirani član druge grupe te sastavlja konsolidirane izvještaje.
14. Izdavatelj je krajnja matica te nije kontrolirani član druge grupe te sastavlja konsolidirane izvještaje. 
15. Konsolidirani financijski izvještaji su dostupni na internet stranicama www.terrafirma.hr, www.zse.hr i www.hanfa.hr
16. Društvo nije imalo aranžmana koji nisu uključeni u bilancu a kod kojih bi rizici ili koristi koji proizlaze iz takvih aranžmana bili materijalni.
17. Nema značajnih događaja koji su nastupili nakon datuma bilance i nisu odraženi u računu dobiti i gubitka ili bilanci.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</si>
</sst>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12C8F7A-BAAE-40E8-B9C9-F1B3AB3F2340}">
  <we:reference id="wa200009404" version="1.0.0.8" store="en-US" storeType="OMEX"/>
  <we:alternateReferences>
    <we:reference id="WA200009404" version="1.0.0.8" store="" storeType="OMEX"/>
  </we:alternateReferences>
  <we:properties>
    <we:property name="claude.fileId" value="&quot;64ca78ac-a25a-49b4-8661-fb41763e9ed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J7" sqref="J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452</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453</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454</v>
      </c>
      <c r="D15" s="138"/>
      <c r="E15" s="155"/>
      <c r="F15" s="156"/>
      <c r="G15" s="73" t="s">
        <v>332</v>
      </c>
      <c r="H15" s="147" t="s">
        <v>456</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455</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457</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10000</v>
      </c>
      <c r="D21" s="148"/>
      <c r="E21" s="141"/>
      <c r="F21" s="141"/>
      <c r="G21" s="152" t="s">
        <v>458</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459</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460</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461</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5</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t="s">
        <v>340</v>
      </c>
      <c r="D50" s="148"/>
      <c r="E50" s="174" t="s">
        <v>342</v>
      </c>
      <c r="F50" s="175"/>
      <c r="G50" s="152" t="s">
        <v>462</v>
      </c>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t="s">
        <v>463</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464</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465</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25" right="0.25"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96" zoomScaleNormal="100" zoomScaleSheetLayoutView="100" workbookViewId="0">
      <selection activeCell="I130" sqref="I13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467</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466</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3301676</v>
      </c>
      <c r="I9" s="91">
        <f>I10+I17+I27+I38+I43</f>
        <v>3720338</v>
      </c>
    </row>
    <row r="10" spans="1:9" ht="12.75" customHeight="1" x14ac:dyDescent="0.2">
      <c r="A10" s="183" t="s">
        <v>5</v>
      </c>
      <c r="B10" s="183"/>
      <c r="C10" s="183"/>
      <c r="D10" s="183"/>
      <c r="E10" s="183"/>
      <c r="F10" s="183"/>
      <c r="G10" s="8">
        <v>3</v>
      </c>
      <c r="H10" s="91">
        <f>H11+H12+H13+H14+H15+H16</f>
        <v>7</v>
      </c>
      <c r="I10" s="91">
        <f>I11+I12+I13+I14+I15+I16</f>
        <v>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7</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1701697</v>
      </c>
      <c r="I17" s="91">
        <f>I18+I19+I20+I21+I22+I23+I24+I25+I26</f>
        <v>1979047</v>
      </c>
    </row>
    <row r="18" spans="1:9" ht="12.75" customHeight="1" x14ac:dyDescent="0.2">
      <c r="A18" s="182" t="s">
        <v>13</v>
      </c>
      <c r="B18" s="182"/>
      <c r="C18" s="182"/>
      <c r="D18" s="182"/>
      <c r="E18" s="182"/>
      <c r="F18" s="182"/>
      <c r="G18" s="7">
        <v>11</v>
      </c>
      <c r="H18" s="90">
        <v>0</v>
      </c>
      <c r="I18" s="90">
        <v>0</v>
      </c>
    </row>
    <row r="19" spans="1:9" ht="12.75" customHeight="1" x14ac:dyDescent="0.2">
      <c r="A19" s="182" t="s">
        <v>14</v>
      </c>
      <c r="B19" s="182"/>
      <c r="C19" s="182"/>
      <c r="D19" s="182"/>
      <c r="E19" s="182"/>
      <c r="F19" s="182"/>
      <c r="G19" s="7">
        <v>12</v>
      </c>
      <c r="H19" s="90">
        <v>0</v>
      </c>
      <c r="I19" s="90">
        <v>0</v>
      </c>
    </row>
    <row r="20" spans="1:9" ht="12.75" customHeight="1" x14ac:dyDescent="0.2">
      <c r="A20" s="182" t="s">
        <v>15</v>
      </c>
      <c r="B20" s="182"/>
      <c r="C20" s="182"/>
      <c r="D20" s="182"/>
      <c r="E20" s="182"/>
      <c r="F20" s="182"/>
      <c r="G20" s="7">
        <v>13</v>
      </c>
      <c r="H20" s="90">
        <v>21798</v>
      </c>
      <c r="I20" s="90">
        <v>15915</v>
      </c>
    </row>
    <row r="21" spans="1:9" ht="12.75" customHeight="1" x14ac:dyDescent="0.2">
      <c r="A21" s="182" t="s">
        <v>16</v>
      </c>
      <c r="B21" s="182"/>
      <c r="C21" s="182"/>
      <c r="D21" s="182"/>
      <c r="E21" s="182"/>
      <c r="F21" s="182"/>
      <c r="G21" s="7">
        <v>14</v>
      </c>
      <c r="H21" s="90">
        <v>0</v>
      </c>
      <c r="I21" s="90">
        <v>0</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0</v>
      </c>
      <c r="I24" s="90">
        <v>0</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1679899</v>
      </c>
      <c r="I26" s="90">
        <v>1963132</v>
      </c>
    </row>
    <row r="27" spans="1:9" ht="12.75" customHeight="1" x14ac:dyDescent="0.2">
      <c r="A27" s="183" t="s">
        <v>22</v>
      </c>
      <c r="B27" s="183"/>
      <c r="C27" s="183"/>
      <c r="D27" s="183"/>
      <c r="E27" s="183"/>
      <c r="F27" s="183"/>
      <c r="G27" s="8">
        <v>20</v>
      </c>
      <c r="H27" s="91">
        <f>SUM(H28:H37)</f>
        <v>1599972</v>
      </c>
      <c r="I27" s="91">
        <f>SUM(I28:I37)</f>
        <v>1741291</v>
      </c>
    </row>
    <row r="28" spans="1:9" ht="12.75" customHeight="1" x14ac:dyDescent="0.2">
      <c r="A28" s="182" t="s">
        <v>23</v>
      </c>
      <c r="B28" s="182"/>
      <c r="C28" s="182"/>
      <c r="D28" s="182"/>
      <c r="E28" s="182"/>
      <c r="F28" s="182"/>
      <c r="G28" s="7">
        <v>21</v>
      </c>
      <c r="H28" s="90">
        <v>1264142</v>
      </c>
      <c r="I28" s="90">
        <v>1339416</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298430</v>
      </c>
      <c r="I34" s="90">
        <v>364475</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37400</v>
      </c>
      <c r="I36" s="90">
        <v>37400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2550434</v>
      </c>
      <c r="I44" s="91">
        <f>I45+I53+I60+I70</f>
        <v>2255411</v>
      </c>
    </row>
    <row r="45" spans="1:9" ht="12.75" customHeight="1" x14ac:dyDescent="0.2">
      <c r="A45" s="183" t="s">
        <v>39</v>
      </c>
      <c r="B45" s="183"/>
      <c r="C45" s="183"/>
      <c r="D45" s="183"/>
      <c r="E45" s="183"/>
      <c r="F45" s="183"/>
      <c r="G45" s="8">
        <v>38</v>
      </c>
      <c r="H45" s="91">
        <f>SUM(H46:H52)</f>
        <v>519912</v>
      </c>
      <c r="I45" s="91">
        <f>SUM(I46:I52)</f>
        <v>947172</v>
      </c>
    </row>
    <row r="46" spans="1:9" ht="12.75" customHeight="1" x14ac:dyDescent="0.2">
      <c r="A46" s="182" t="s">
        <v>40</v>
      </c>
      <c r="B46" s="182"/>
      <c r="C46" s="182"/>
      <c r="D46" s="182"/>
      <c r="E46" s="182"/>
      <c r="F46" s="182"/>
      <c r="G46" s="7">
        <v>39</v>
      </c>
      <c r="H46" s="90">
        <v>0</v>
      </c>
      <c r="I46" s="90">
        <v>0</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519912</v>
      </c>
      <c r="I51" s="90">
        <v>947172</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184255</v>
      </c>
      <c r="I53" s="91">
        <f>SUM(I54:I59)</f>
        <v>324216</v>
      </c>
    </row>
    <row r="54" spans="1:9" ht="12.75" customHeight="1" x14ac:dyDescent="0.2">
      <c r="A54" s="182" t="s">
        <v>48</v>
      </c>
      <c r="B54" s="182"/>
      <c r="C54" s="182"/>
      <c r="D54" s="182"/>
      <c r="E54" s="182"/>
      <c r="F54" s="182"/>
      <c r="G54" s="7">
        <v>47</v>
      </c>
      <c r="H54" s="90">
        <v>108076</v>
      </c>
      <c r="I54" s="90">
        <v>126720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59650</v>
      </c>
      <c r="I56" s="90">
        <v>109408</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29</v>
      </c>
      <c r="I58" s="90">
        <v>87425</v>
      </c>
    </row>
    <row r="59" spans="1:9" ht="12.75" customHeight="1" x14ac:dyDescent="0.2">
      <c r="A59" s="182" t="s">
        <v>53</v>
      </c>
      <c r="B59" s="182"/>
      <c r="C59" s="182"/>
      <c r="D59" s="182"/>
      <c r="E59" s="182"/>
      <c r="F59" s="182"/>
      <c r="G59" s="7">
        <v>52</v>
      </c>
      <c r="H59" s="90">
        <v>16500</v>
      </c>
      <c r="I59" s="90">
        <v>663</v>
      </c>
    </row>
    <row r="60" spans="1:9" ht="12.75" customHeight="1" x14ac:dyDescent="0.2">
      <c r="A60" s="183" t="s">
        <v>54</v>
      </c>
      <c r="B60" s="183"/>
      <c r="C60" s="183"/>
      <c r="D60" s="183"/>
      <c r="E60" s="183"/>
      <c r="F60" s="183"/>
      <c r="G60" s="8">
        <v>53</v>
      </c>
      <c r="H60" s="91">
        <f>SUM(H61:H69)</f>
        <v>1655923</v>
      </c>
      <c r="I60" s="91">
        <f>SUM(I61:I69)</f>
        <v>953191</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1092059</v>
      </c>
      <c r="I63" s="90">
        <v>816150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563864</v>
      </c>
      <c r="I69" s="90">
        <v>137041</v>
      </c>
    </row>
    <row r="70" spans="1:9" ht="12.75" customHeight="1" x14ac:dyDescent="0.2">
      <c r="A70" s="182" t="s">
        <v>57</v>
      </c>
      <c r="B70" s="182"/>
      <c r="C70" s="182"/>
      <c r="D70" s="182"/>
      <c r="E70" s="182"/>
      <c r="F70" s="182"/>
      <c r="G70" s="7">
        <v>63</v>
      </c>
      <c r="H70" s="90">
        <v>190344</v>
      </c>
      <c r="I70" s="90">
        <v>30832</v>
      </c>
    </row>
    <row r="71" spans="1:9" ht="12.75" customHeight="1" x14ac:dyDescent="0.2">
      <c r="A71" s="198" t="s">
        <v>58</v>
      </c>
      <c r="B71" s="198"/>
      <c r="C71" s="198"/>
      <c r="D71" s="198"/>
      <c r="E71" s="198"/>
      <c r="F71" s="198"/>
      <c r="G71" s="7">
        <v>64</v>
      </c>
      <c r="H71" s="90">
        <v>0</v>
      </c>
      <c r="I71" s="90">
        <v>0</v>
      </c>
    </row>
    <row r="72" spans="1:9" ht="12.75" customHeight="1" x14ac:dyDescent="0.2">
      <c r="A72" s="184" t="s">
        <v>302</v>
      </c>
      <c r="B72" s="184"/>
      <c r="C72" s="184"/>
      <c r="D72" s="184"/>
      <c r="E72" s="184"/>
      <c r="F72" s="184"/>
      <c r="G72" s="8">
        <v>65</v>
      </c>
      <c r="H72" s="91">
        <f>H8+H9+H44+H71</f>
        <v>5852110</v>
      </c>
      <c r="I72" s="91">
        <f>I8+I9+I44+I71</f>
        <v>5975749</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5620393</v>
      </c>
      <c r="I75" s="92">
        <f>I76+I77+I78+I84+I85+I92+I95+I98</f>
        <v>5821733</v>
      </c>
    </row>
    <row r="76" spans="1:9" ht="12.75" customHeight="1" x14ac:dyDescent="0.2">
      <c r="A76" s="182" t="s">
        <v>61</v>
      </c>
      <c r="B76" s="182"/>
      <c r="C76" s="182"/>
      <c r="D76" s="182"/>
      <c r="E76" s="182"/>
      <c r="F76" s="182"/>
      <c r="G76" s="7">
        <v>68</v>
      </c>
      <c r="H76" s="90">
        <v>1000000</v>
      </c>
      <c r="I76" s="90">
        <v>1000000</v>
      </c>
    </row>
    <row r="77" spans="1:9" ht="12.75" customHeight="1" x14ac:dyDescent="0.2">
      <c r="A77" s="182" t="s">
        <v>62</v>
      </c>
      <c r="B77" s="182"/>
      <c r="C77" s="182"/>
      <c r="D77" s="182"/>
      <c r="E77" s="182"/>
      <c r="F77" s="182"/>
      <c r="G77" s="7">
        <v>69</v>
      </c>
      <c r="H77" s="90">
        <v>2313160</v>
      </c>
      <c r="I77" s="90">
        <v>2313160</v>
      </c>
    </row>
    <row r="78" spans="1:9" ht="12.75" customHeight="1" x14ac:dyDescent="0.2">
      <c r="A78" s="183" t="s">
        <v>63</v>
      </c>
      <c r="B78" s="183"/>
      <c r="C78" s="183"/>
      <c r="D78" s="183"/>
      <c r="E78" s="183"/>
      <c r="F78" s="183"/>
      <c r="G78" s="8">
        <v>70</v>
      </c>
      <c r="H78" s="92">
        <f>SUM(H79:H83)</f>
        <v>23890</v>
      </c>
      <c r="I78" s="92">
        <f>SUM(I79:I83)</f>
        <v>23890</v>
      </c>
    </row>
    <row r="79" spans="1:9" ht="12.75" customHeight="1" x14ac:dyDescent="0.2">
      <c r="A79" s="182" t="s">
        <v>64</v>
      </c>
      <c r="B79" s="182"/>
      <c r="C79" s="182"/>
      <c r="D79" s="182"/>
      <c r="E79" s="182"/>
      <c r="F79" s="182"/>
      <c r="G79" s="7">
        <v>71</v>
      </c>
      <c r="H79" s="90">
        <v>23890</v>
      </c>
      <c r="I79" s="90">
        <v>23890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-209228</v>
      </c>
      <c r="I84" s="93">
        <v>-133954</v>
      </c>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1754703</v>
      </c>
      <c r="I92" s="91">
        <f>I93-I94</f>
        <v>2456570</v>
      </c>
    </row>
    <row r="93" spans="1:9" ht="12.75" customHeight="1" x14ac:dyDescent="0.2">
      <c r="A93" s="182" t="s">
        <v>72</v>
      </c>
      <c r="B93" s="182"/>
      <c r="C93" s="182"/>
      <c r="D93" s="182"/>
      <c r="E93" s="182"/>
      <c r="F93" s="182"/>
      <c r="G93" s="7">
        <v>85</v>
      </c>
      <c r="H93" s="90">
        <v>1754703</v>
      </c>
      <c r="I93" s="90">
        <v>2456570</v>
      </c>
    </row>
    <row r="94" spans="1:9" ht="12.75" customHeight="1" x14ac:dyDescent="0.2">
      <c r="A94" s="182" t="s">
        <v>73</v>
      </c>
      <c r="B94" s="182"/>
      <c r="C94" s="182"/>
      <c r="D94" s="182"/>
      <c r="E94" s="182"/>
      <c r="F94" s="182"/>
      <c r="G94" s="7">
        <v>86</v>
      </c>
      <c r="H94" s="90">
        <v>0</v>
      </c>
      <c r="I94" s="90">
        <v>0</v>
      </c>
    </row>
    <row r="95" spans="1:9" ht="12.75" customHeight="1" x14ac:dyDescent="0.2">
      <c r="A95" s="183" t="s">
        <v>433</v>
      </c>
      <c r="B95" s="183"/>
      <c r="C95" s="183"/>
      <c r="D95" s="183"/>
      <c r="E95" s="183"/>
      <c r="F95" s="183"/>
      <c r="G95" s="8">
        <v>87</v>
      </c>
      <c r="H95" s="91">
        <f>H96-H97</f>
        <v>737868</v>
      </c>
      <c r="I95" s="91">
        <f>I96-I97</f>
        <v>162067</v>
      </c>
    </row>
    <row r="96" spans="1:9" ht="12.75" customHeight="1" x14ac:dyDescent="0.2">
      <c r="A96" s="182" t="s">
        <v>74</v>
      </c>
      <c r="B96" s="182"/>
      <c r="C96" s="182"/>
      <c r="D96" s="182"/>
      <c r="E96" s="182"/>
      <c r="F96" s="182"/>
      <c r="G96" s="7">
        <v>88</v>
      </c>
      <c r="H96" s="90">
        <v>737868</v>
      </c>
      <c r="I96" s="90">
        <f>RDG!J67</f>
        <v>162067</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0</v>
      </c>
      <c r="I99" s="91">
        <f>SUM(I100:I105)</f>
        <v>0</v>
      </c>
    </row>
    <row r="100" spans="1:9" ht="12.75" customHeight="1" x14ac:dyDescent="0.2">
      <c r="A100" s="182" t="s">
        <v>77</v>
      </c>
      <c r="B100" s="182"/>
      <c r="C100" s="182"/>
      <c r="D100" s="182"/>
      <c r="E100" s="182"/>
      <c r="F100" s="182"/>
      <c r="G100" s="7">
        <v>92</v>
      </c>
      <c r="H100" s="90">
        <v>0</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0</v>
      </c>
      <c r="I106" s="91">
        <f>SUM(I107:I117)</f>
        <v>0</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436</v>
      </c>
      <c r="B118" s="184"/>
      <c r="C118" s="184"/>
      <c r="D118" s="184"/>
      <c r="E118" s="184"/>
      <c r="F118" s="184"/>
      <c r="G118" s="8">
        <v>110</v>
      </c>
      <c r="H118" s="91">
        <f>SUM(H119:H132)</f>
        <v>231717</v>
      </c>
      <c r="I118" s="91">
        <f>SUM(I119:I132)</f>
        <v>154016</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37269</v>
      </c>
      <c r="I123" s="90">
        <v>30843</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7042</v>
      </c>
      <c r="I125" s="90">
        <v>9938</v>
      </c>
    </row>
    <row r="126" spans="1:9" ht="12.75" customHeight="1" x14ac:dyDescent="0.2">
      <c r="A126" s="182" t="s">
        <v>90</v>
      </c>
      <c r="B126" s="182"/>
      <c r="C126" s="182"/>
      <c r="D126" s="182"/>
      <c r="E126" s="182"/>
      <c r="F126" s="182"/>
      <c r="G126" s="7">
        <v>118</v>
      </c>
      <c r="H126" s="90">
        <v>6242</v>
      </c>
      <c r="I126" s="90">
        <v>4137</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7262</v>
      </c>
      <c r="I128" s="90">
        <v>7139</v>
      </c>
    </row>
    <row r="129" spans="1:9" x14ac:dyDescent="0.2">
      <c r="A129" s="182" t="s">
        <v>95</v>
      </c>
      <c r="B129" s="182"/>
      <c r="C129" s="182"/>
      <c r="D129" s="182"/>
      <c r="E129" s="182"/>
      <c r="F129" s="182"/>
      <c r="G129" s="7">
        <v>121</v>
      </c>
      <c r="H129" s="90">
        <v>173902</v>
      </c>
      <c r="I129" s="90">
        <f>64235+RDG!J65</f>
        <v>99811</v>
      </c>
    </row>
    <row r="130" spans="1:9" x14ac:dyDescent="0.2">
      <c r="A130" s="182" t="s">
        <v>96</v>
      </c>
      <c r="B130" s="182"/>
      <c r="C130" s="182"/>
      <c r="D130" s="182"/>
      <c r="E130" s="182"/>
      <c r="F130" s="182"/>
      <c r="G130" s="7">
        <v>122</v>
      </c>
      <c r="H130" s="90">
        <v>0</v>
      </c>
      <c r="I130" s="90">
        <v>2148</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0</v>
      </c>
      <c r="I132" s="90">
        <v>0</v>
      </c>
    </row>
    <row r="133" spans="1:9" ht="22.15" customHeight="1" x14ac:dyDescent="0.2">
      <c r="A133" s="198" t="s">
        <v>99</v>
      </c>
      <c r="B133" s="198"/>
      <c r="C133" s="198"/>
      <c r="D133" s="198"/>
      <c r="E133" s="198"/>
      <c r="F133" s="198"/>
      <c r="G133" s="7">
        <v>125</v>
      </c>
      <c r="H133" s="90">
        <v>0</v>
      </c>
      <c r="I133" s="90">
        <v>0</v>
      </c>
    </row>
    <row r="134" spans="1:9" ht="12.75" customHeight="1" x14ac:dyDescent="0.2">
      <c r="A134" s="184" t="s">
        <v>437</v>
      </c>
      <c r="B134" s="184"/>
      <c r="C134" s="184"/>
      <c r="D134" s="184"/>
      <c r="E134" s="184"/>
      <c r="F134" s="184"/>
      <c r="G134" s="8">
        <v>126</v>
      </c>
      <c r="H134" s="91">
        <f>H75+H99+H106+H118+H133</f>
        <v>5852110</v>
      </c>
      <c r="I134" s="91">
        <f>I75+I99+I106+I118+I133</f>
        <v>5975749</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 right="0.7" top="0.75" bottom="0.75" header="0.3" footer="0.3"/>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3" zoomScale="110" zoomScaleNormal="115" zoomScaleSheetLayoutView="110" workbookViewId="0">
      <selection activeCell="K93" sqref="K9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468</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466</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1083712</v>
      </c>
      <c r="I8" s="94">
        <f>SUM(I9:I13)</f>
        <v>849982</v>
      </c>
      <c r="J8" s="94">
        <f>SUM(J9:J13)</f>
        <v>375792</v>
      </c>
      <c r="K8" s="94">
        <f>SUM(K9:K13)</f>
        <v>74526</v>
      </c>
    </row>
    <row r="9" spans="1:11" ht="12.75" customHeight="1" x14ac:dyDescent="0.2">
      <c r="A9" s="182" t="s">
        <v>115</v>
      </c>
      <c r="B9" s="182"/>
      <c r="C9" s="182"/>
      <c r="D9" s="182"/>
      <c r="E9" s="182"/>
      <c r="F9" s="182"/>
      <c r="G9" s="7">
        <v>2</v>
      </c>
      <c r="H9" s="95">
        <v>2507</v>
      </c>
      <c r="I9" s="95">
        <v>2507</v>
      </c>
      <c r="J9" s="95">
        <v>0</v>
      </c>
      <c r="K9" s="95">
        <v>0</v>
      </c>
    </row>
    <row r="10" spans="1:11" ht="12.75" customHeight="1" x14ac:dyDescent="0.2">
      <c r="A10" s="182" t="s">
        <v>438</v>
      </c>
      <c r="B10" s="182"/>
      <c r="C10" s="182"/>
      <c r="D10" s="182"/>
      <c r="E10" s="182"/>
      <c r="F10" s="182"/>
      <c r="G10" s="7">
        <v>3</v>
      </c>
      <c r="H10" s="95">
        <v>1042433</v>
      </c>
      <c r="I10" s="95">
        <v>836585</v>
      </c>
      <c r="J10" s="95">
        <v>333662</v>
      </c>
      <c r="K10" s="95">
        <f>333662-268958</f>
        <v>64704</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38772</v>
      </c>
      <c r="I13" s="95">
        <v>10890</v>
      </c>
      <c r="J13" s="95">
        <v>42130</v>
      </c>
      <c r="K13" s="95">
        <f>42130-32308</f>
        <v>9822</v>
      </c>
    </row>
    <row r="14" spans="1:11" ht="12.75" customHeight="1" x14ac:dyDescent="0.2">
      <c r="A14" s="216" t="s">
        <v>351</v>
      </c>
      <c r="B14" s="216"/>
      <c r="C14" s="216"/>
      <c r="D14" s="216"/>
      <c r="E14" s="216"/>
      <c r="F14" s="216"/>
      <c r="G14" s="8">
        <v>7</v>
      </c>
      <c r="H14" s="94">
        <f>H15+H16+H20+H24+H25+H26+H29+H36</f>
        <v>246110</v>
      </c>
      <c r="I14" s="94">
        <f>I15+I16+I20+I24+I25+I26+I29+I36</f>
        <v>91024</v>
      </c>
      <c r="J14" s="94">
        <f>J15+J16+J20+J24+J25+J26+J29+J36</f>
        <v>262643</v>
      </c>
      <c r="K14" s="94">
        <f>K15+K16+K20+K24+K25+K26+K29+K36</f>
        <v>92311</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117602</v>
      </c>
      <c r="I16" s="94">
        <f>SUM(I17:I19)</f>
        <v>47122</v>
      </c>
      <c r="J16" s="94">
        <f>SUM(J17:J19)</f>
        <v>128866</v>
      </c>
      <c r="K16" s="94">
        <f>SUM(K17:K19)</f>
        <v>50459</v>
      </c>
    </row>
    <row r="17" spans="1:11" ht="12.75" customHeight="1" x14ac:dyDescent="0.2">
      <c r="A17" s="217" t="s">
        <v>119</v>
      </c>
      <c r="B17" s="217"/>
      <c r="C17" s="217"/>
      <c r="D17" s="217"/>
      <c r="E17" s="217"/>
      <c r="F17" s="217"/>
      <c r="G17" s="7">
        <v>10</v>
      </c>
      <c r="H17" s="95">
        <v>25624</v>
      </c>
      <c r="I17" s="95">
        <v>5464</v>
      </c>
      <c r="J17" s="95">
        <v>26826</v>
      </c>
      <c r="K17" s="95">
        <f>26826-20078</f>
        <v>6748</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v>91978</v>
      </c>
      <c r="I19" s="95">
        <v>41658</v>
      </c>
      <c r="J19" s="95">
        <v>102040</v>
      </c>
      <c r="K19" s="95">
        <f>102040-58329</f>
        <v>43711</v>
      </c>
    </row>
    <row r="20" spans="1:11" ht="12.75" customHeight="1" x14ac:dyDescent="0.2">
      <c r="A20" s="183" t="s">
        <v>421</v>
      </c>
      <c r="B20" s="183"/>
      <c r="C20" s="183"/>
      <c r="D20" s="183"/>
      <c r="E20" s="183"/>
      <c r="F20" s="183"/>
      <c r="G20" s="8">
        <v>13</v>
      </c>
      <c r="H20" s="94">
        <f>SUM(H21:H23)</f>
        <v>88415</v>
      </c>
      <c r="I20" s="94">
        <f>SUM(I21:I23)</f>
        <v>30631</v>
      </c>
      <c r="J20" s="94">
        <f>SUM(J21:J23)</f>
        <v>104822</v>
      </c>
      <c r="K20" s="94">
        <f>SUM(K21:K23)</f>
        <v>35055</v>
      </c>
    </row>
    <row r="21" spans="1:11" ht="12.75" customHeight="1" x14ac:dyDescent="0.2">
      <c r="A21" s="217" t="s">
        <v>105</v>
      </c>
      <c r="B21" s="217"/>
      <c r="C21" s="217"/>
      <c r="D21" s="217"/>
      <c r="E21" s="217"/>
      <c r="F21" s="217"/>
      <c r="G21" s="7">
        <v>14</v>
      </c>
      <c r="H21" s="95">
        <v>55924</v>
      </c>
      <c r="I21" s="95">
        <v>19350</v>
      </c>
      <c r="J21" s="95">
        <v>65592</v>
      </c>
      <c r="K21" s="95">
        <f>65592-43892</f>
        <v>21700</v>
      </c>
    </row>
    <row r="22" spans="1:11" ht="12.75" customHeight="1" x14ac:dyDescent="0.2">
      <c r="A22" s="217" t="s">
        <v>106</v>
      </c>
      <c r="B22" s="217"/>
      <c r="C22" s="217"/>
      <c r="D22" s="217"/>
      <c r="E22" s="217"/>
      <c r="F22" s="217"/>
      <c r="G22" s="7">
        <v>15</v>
      </c>
      <c r="H22" s="95">
        <v>19969</v>
      </c>
      <c r="I22" s="95">
        <v>6943</v>
      </c>
      <c r="J22" s="95">
        <v>24392</v>
      </c>
      <c r="K22" s="95">
        <f>24392-16002</f>
        <v>8390</v>
      </c>
    </row>
    <row r="23" spans="1:11" ht="12.75" customHeight="1" x14ac:dyDescent="0.2">
      <c r="A23" s="217" t="s">
        <v>107</v>
      </c>
      <c r="B23" s="217"/>
      <c r="C23" s="217"/>
      <c r="D23" s="217"/>
      <c r="E23" s="217"/>
      <c r="F23" s="217"/>
      <c r="G23" s="7">
        <v>16</v>
      </c>
      <c r="H23" s="95">
        <v>12522</v>
      </c>
      <c r="I23" s="95">
        <v>4338</v>
      </c>
      <c r="J23" s="95">
        <v>14838</v>
      </c>
      <c r="K23" s="95">
        <f>14838-9873</f>
        <v>4965</v>
      </c>
    </row>
    <row r="24" spans="1:11" ht="12.75" customHeight="1" x14ac:dyDescent="0.2">
      <c r="A24" s="182" t="s">
        <v>108</v>
      </c>
      <c r="B24" s="182"/>
      <c r="C24" s="182"/>
      <c r="D24" s="182"/>
      <c r="E24" s="182"/>
      <c r="F24" s="182"/>
      <c r="G24" s="7">
        <v>17</v>
      </c>
      <c r="H24" s="95">
        <v>18805</v>
      </c>
      <c r="I24" s="95">
        <v>6230</v>
      </c>
      <c r="J24" s="95">
        <v>5889</v>
      </c>
      <c r="K24" s="95">
        <f>5889-3941</f>
        <v>1948</v>
      </c>
    </row>
    <row r="25" spans="1:11" ht="12.75" customHeight="1" x14ac:dyDescent="0.2">
      <c r="A25" s="182" t="s">
        <v>109</v>
      </c>
      <c r="B25" s="182"/>
      <c r="C25" s="182"/>
      <c r="D25" s="182"/>
      <c r="E25" s="182"/>
      <c r="F25" s="182"/>
      <c r="G25" s="7">
        <v>18</v>
      </c>
      <c r="H25" s="95">
        <v>21288</v>
      </c>
      <c r="I25" s="95">
        <v>7041</v>
      </c>
      <c r="J25" s="95">
        <v>23066</v>
      </c>
      <c r="K25" s="95">
        <f>23066-18217</f>
        <v>4849</v>
      </c>
    </row>
    <row r="26" spans="1:11" ht="12.75" customHeight="1" x14ac:dyDescent="0.2">
      <c r="A26" s="183" t="s">
        <v>422</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6" t="s">
        <v>352</v>
      </c>
      <c r="B37" s="216"/>
      <c r="C37" s="216"/>
      <c r="D37" s="216"/>
      <c r="E37" s="216"/>
      <c r="F37" s="216"/>
      <c r="G37" s="8">
        <v>30</v>
      </c>
      <c r="H37" s="94">
        <f>SUM(H38:H47)</f>
        <v>45741</v>
      </c>
      <c r="I37" s="94">
        <f>SUM(I38:I47)</f>
        <v>22761</v>
      </c>
      <c r="J37" s="94">
        <f>SUM(J38:J47)</f>
        <v>84740</v>
      </c>
      <c r="K37" s="94">
        <f>SUM(K38:K47)</f>
        <v>27967</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32213</v>
      </c>
      <c r="I41" s="95">
        <v>9685</v>
      </c>
      <c r="J41" s="95">
        <v>18694</v>
      </c>
      <c r="K41" s="95">
        <f>18694-13170</f>
        <v>5524</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2</v>
      </c>
      <c r="I44" s="95">
        <v>0</v>
      </c>
      <c r="J44" s="95">
        <v>2</v>
      </c>
      <c r="K44" s="95">
        <f>2-2</f>
        <v>0</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13076</v>
      </c>
      <c r="I46" s="95">
        <v>13076</v>
      </c>
      <c r="J46" s="95">
        <v>66044</v>
      </c>
      <c r="K46" s="95">
        <f>66044-43601</f>
        <v>22443</v>
      </c>
    </row>
    <row r="47" spans="1:11" ht="12.75" customHeight="1" x14ac:dyDescent="0.2">
      <c r="A47" s="182" t="s">
        <v>139</v>
      </c>
      <c r="B47" s="182"/>
      <c r="C47" s="182"/>
      <c r="D47" s="182"/>
      <c r="E47" s="182"/>
      <c r="F47" s="182"/>
      <c r="G47" s="7">
        <v>40</v>
      </c>
      <c r="H47" s="95">
        <v>450</v>
      </c>
      <c r="I47" s="95">
        <v>0</v>
      </c>
      <c r="J47" s="95">
        <v>0</v>
      </c>
      <c r="K47" s="95">
        <v>0</v>
      </c>
    </row>
    <row r="48" spans="1:11" ht="12.75" customHeight="1" x14ac:dyDescent="0.2">
      <c r="A48" s="216" t="s">
        <v>353</v>
      </c>
      <c r="B48" s="216"/>
      <c r="C48" s="216"/>
      <c r="D48" s="216"/>
      <c r="E48" s="216"/>
      <c r="F48" s="216"/>
      <c r="G48" s="8">
        <v>41</v>
      </c>
      <c r="H48" s="94">
        <f>SUM(H49:H55)</f>
        <v>12296</v>
      </c>
      <c r="I48" s="94">
        <f>SUM(I49:I55)</f>
        <v>1154</v>
      </c>
      <c r="J48" s="94">
        <f>SUM(J49:J55)</f>
        <v>246</v>
      </c>
      <c r="K48" s="94">
        <f>SUM(K49:K55)</f>
        <v>90</v>
      </c>
    </row>
    <row r="49" spans="1:11" ht="25.15" customHeight="1" x14ac:dyDescent="0.2">
      <c r="A49" s="182" t="s">
        <v>140</v>
      </c>
      <c r="B49" s="182"/>
      <c r="C49" s="182"/>
      <c r="D49" s="182"/>
      <c r="E49" s="182"/>
      <c r="F49" s="182"/>
      <c r="G49" s="7">
        <v>42</v>
      </c>
      <c r="H49" s="95">
        <v>0</v>
      </c>
      <c r="I49" s="95">
        <v>0</v>
      </c>
      <c r="J49" s="95">
        <v>86</v>
      </c>
      <c r="K49" s="95">
        <f>86-0</f>
        <v>86</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12296</v>
      </c>
      <c r="I51" s="95">
        <v>1154</v>
      </c>
      <c r="J51" s="95">
        <v>7</v>
      </c>
      <c r="K51" s="95">
        <f>7-3</f>
        <v>4</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0</v>
      </c>
      <c r="I55" s="95">
        <v>0</v>
      </c>
      <c r="J55" s="95">
        <v>153</v>
      </c>
      <c r="K55" s="95">
        <f>153-153</f>
        <v>0</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1129453</v>
      </c>
      <c r="I60" s="94">
        <f t="shared" ref="I60:K60" si="0">I8+I37+I56+I57</f>
        <v>872743</v>
      </c>
      <c r="J60" s="94">
        <f t="shared" si="0"/>
        <v>460532</v>
      </c>
      <c r="K60" s="94">
        <f t="shared" si="0"/>
        <v>102493</v>
      </c>
    </row>
    <row r="61" spans="1:11" ht="12.75" customHeight="1" x14ac:dyDescent="0.2">
      <c r="A61" s="216" t="s">
        <v>355</v>
      </c>
      <c r="B61" s="216"/>
      <c r="C61" s="216"/>
      <c r="D61" s="216"/>
      <c r="E61" s="216"/>
      <c r="F61" s="216"/>
      <c r="G61" s="8">
        <v>54</v>
      </c>
      <c r="H61" s="94">
        <f>H14+H48+H58+H59</f>
        <v>258406</v>
      </c>
      <c r="I61" s="94">
        <f t="shared" ref="I61:K61" si="1">I14+I48+I58+I59</f>
        <v>92178</v>
      </c>
      <c r="J61" s="94">
        <f t="shared" si="1"/>
        <v>262889</v>
      </c>
      <c r="K61" s="94">
        <f t="shared" si="1"/>
        <v>92401</v>
      </c>
    </row>
    <row r="62" spans="1:11" ht="12.75" customHeight="1" x14ac:dyDescent="0.2">
      <c r="A62" s="216" t="s">
        <v>356</v>
      </c>
      <c r="B62" s="216"/>
      <c r="C62" s="216"/>
      <c r="D62" s="216"/>
      <c r="E62" s="216"/>
      <c r="F62" s="216"/>
      <c r="G62" s="8">
        <v>55</v>
      </c>
      <c r="H62" s="94">
        <f>H60-H61</f>
        <v>871047</v>
      </c>
      <c r="I62" s="94">
        <f t="shared" ref="I62:K62" si="2">I60-I61</f>
        <v>780565</v>
      </c>
      <c r="J62" s="94">
        <f t="shared" si="2"/>
        <v>197643</v>
      </c>
      <c r="K62" s="94">
        <f t="shared" si="2"/>
        <v>10092</v>
      </c>
    </row>
    <row r="63" spans="1:11" ht="12.75" customHeight="1" x14ac:dyDescent="0.2">
      <c r="A63" s="221" t="s">
        <v>357</v>
      </c>
      <c r="B63" s="221"/>
      <c r="C63" s="221"/>
      <c r="D63" s="221"/>
      <c r="E63" s="221"/>
      <c r="F63" s="221"/>
      <c r="G63" s="8">
        <v>56</v>
      </c>
      <c r="H63" s="94">
        <f>+IF((H60-H61)&gt;0,(H60-H61),0)</f>
        <v>871047</v>
      </c>
      <c r="I63" s="94">
        <f t="shared" ref="I63:K63" si="3">+IF((I60-I61)&gt;0,(I60-I61),0)</f>
        <v>780565</v>
      </c>
      <c r="J63" s="94">
        <f t="shared" si="3"/>
        <v>197643</v>
      </c>
      <c r="K63" s="94">
        <f t="shared" si="3"/>
        <v>10092</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156788</v>
      </c>
      <c r="I65" s="95">
        <v>147739</v>
      </c>
      <c r="J65" s="95">
        <f>ROUND(J63*18%,0)</f>
        <v>35576</v>
      </c>
      <c r="K65" s="95">
        <f>J65-33759</f>
        <v>1817</v>
      </c>
    </row>
    <row r="66" spans="1:11" ht="12.75" customHeight="1" x14ac:dyDescent="0.2">
      <c r="A66" s="216" t="s">
        <v>359</v>
      </c>
      <c r="B66" s="216"/>
      <c r="C66" s="216"/>
      <c r="D66" s="216"/>
      <c r="E66" s="216"/>
      <c r="F66" s="216"/>
      <c r="G66" s="8">
        <v>59</v>
      </c>
      <c r="H66" s="94">
        <f>H62-H65</f>
        <v>714259</v>
      </c>
      <c r="I66" s="94">
        <f t="shared" ref="I66:K66" si="5">I62-I65</f>
        <v>632826</v>
      </c>
      <c r="J66" s="94">
        <f t="shared" si="5"/>
        <v>162067</v>
      </c>
      <c r="K66" s="94">
        <f t="shared" si="5"/>
        <v>8275</v>
      </c>
    </row>
    <row r="67" spans="1:11" ht="12.75" customHeight="1" x14ac:dyDescent="0.2">
      <c r="A67" s="221" t="s">
        <v>360</v>
      </c>
      <c r="B67" s="221"/>
      <c r="C67" s="221"/>
      <c r="D67" s="221"/>
      <c r="E67" s="221"/>
      <c r="F67" s="221"/>
      <c r="G67" s="8">
        <v>60</v>
      </c>
      <c r="H67" s="94">
        <f>+IF((H62-H65)&gt;0,(H62-H65),0)</f>
        <v>714259</v>
      </c>
      <c r="I67" s="94">
        <f t="shared" ref="I67:K67" si="6">+IF((I62-I65)&gt;0,(I62-I65),0)</f>
        <v>632826</v>
      </c>
      <c r="J67" s="94">
        <f t="shared" si="6"/>
        <v>162067</v>
      </c>
      <c r="K67" s="94">
        <f t="shared" si="6"/>
        <v>8275</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714259</v>
      </c>
      <c r="I89" s="99">
        <v>632826</v>
      </c>
      <c r="J89" s="99">
        <f>J67</f>
        <v>162067</v>
      </c>
      <c r="K89" s="99">
        <f>K67</f>
        <v>8275</v>
      </c>
    </row>
    <row r="90" spans="1:11" ht="24" customHeight="1" x14ac:dyDescent="0.2">
      <c r="A90" s="184" t="s">
        <v>419</v>
      </c>
      <c r="B90" s="184"/>
      <c r="C90" s="184"/>
      <c r="D90" s="184"/>
      <c r="E90" s="184"/>
      <c r="F90" s="184"/>
      <c r="G90" s="8">
        <v>79</v>
      </c>
      <c r="H90" s="100">
        <f>H91+H98</f>
        <v>157280</v>
      </c>
      <c r="I90" s="100">
        <f>I91+I98</f>
        <v>40983</v>
      </c>
      <c r="J90" s="100">
        <f t="shared" ref="J90:K90" si="8">J91+J98</f>
        <v>75274</v>
      </c>
      <c r="K90" s="100">
        <f t="shared" si="8"/>
        <v>23604</v>
      </c>
    </row>
    <row r="91" spans="1:11" ht="24" customHeight="1" x14ac:dyDescent="0.2">
      <c r="A91" s="231" t="s">
        <v>424</v>
      </c>
      <c r="B91" s="231"/>
      <c r="C91" s="231"/>
      <c r="D91" s="231"/>
      <c r="E91" s="231"/>
      <c r="F91" s="231"/>
      <c r="G91" s="8">
        <v>80</v>
      </c>
      <c r="H91" s="100">
        <f>SUM(H92:H96)</f>
        <v>157280</v>
      </c>
      <c r="I91" s="100">
        <f>SUM(I92:I96)</f>
        <v>40983</v>
      </c>
      <c r="J91" s="100">
        <f>SUM(J92:J96)</f>
        <v>75274</v>
      </c>
      <c r="K91" s="100">
        <f>SUM(K92:K96)</f>
        <v>23604</v>
      </c>
    </row>
    <row r="92" spans="1:11" ht="25.5" customHeight="1" x14ac:dyDescent="0.2">
      <c r="A92" s="220" t="s">
        <v>373</v>
      </c>
      <c r="B92" s="220"/>
      <c r="C92" s="220"/>
      <c r="D92" s="220"/>
      <c r="E92" s="220"/>
      <c r="F92" s="220"/>
      <c r="G92" s="7">
        <v>81</v>
      </c>
      <c r="H92" s="99">
        <v>157280</v>
      </c>
      <c r="I92" s="99">
        <v>40983</v>
      </c>
      <c r="J92" s="99">
        <f>209228-133954</f>
        <v>75274</v>
      </c>
      <c r="K92" s="99">
        <f>J92-51670</f>
        <v>23604</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157280</v>
      </c>
      <c r="I109" s="100">
        <f>I91+I98-I108-I97</f>
        <v>40983</v>
      </c>
      <c r="J109" s="100">
        <f>J91+J98-J108-J97</f>
        <v>75274</v>
      </c>
      <c r="K109" s="100">
        <f>K91+K98-K108-K97</f>
        <v>23604</v>
      </c>
    </row>
    <row r="110" spans="1:11" ht="28.15" customHeight="1" x14ac:dyDescent="0.2">
      <c r="A110" s="184" t="s">
        <v>450</v>
      </c>
      <c r="B110" s="184"/>
      <c r="C110" s="184"/>
      <c r="D110" s="184"/>
      <c r="E110" s="184"/>
      <c r="F110" s="184"/>
      <c r="G110" s="8">
        <v>99</v>
      </c>
      <c r="H110" s="98">
        <f>H89+H109</f>
        <v>871539</v>
      </c>
      <c r="I110" s="98">
        <f t="shared" ref="I110:K110" si="9">I89+I109</f>
        <v>673809</v>
      </c>
      <c r="J110" s="98">
        <f t="shared" si="9"/>
        <v>237341</v>
      </c>
      <c r="K110" s="98">
        <f t="shared" si="9"/>
        <v>31879</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L36" sqref="L36"/>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468</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466</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871047</v>
      </c>
      <c r="I8" s="101">
        <f>RDG!J63</f>
        <v>197643</v>
      </c>
    </row>
    <row r="9" spans="1:9" ht="12.75" customHeight="1" x14ac:dyDescent="0.2">
      <c r="A9" s="240" t="s">
        <v>170</v>
      </c>
      <c r="B9" s="240"/>
      <c r="C9" s="240"/>
      <c r="D9" s="240"/>
      <c r="E9" s="240"/>
      <c r="F9" s="240"/>
      <c r="G9" s="32">
        <v>2</v>
      </c>
      <c r="H9" s="102">
        <f>H10+H11+H12+H13+H14+H15+H16+H17</f>
        <v>771356</v>
      </c>
      <c r="I9" s="102">
        <f>I10+I11+I12+I13+I14+I15+I16+I17</f>
        <v>251550</v>
      </c>
    </row>
    <row r="10" spans="1:9" ht="12.75" customHeight="1" x14ac:dyDescent="0.2">
      <c r="A10" s="217" t="s">
        <v>171</v>
      </c>
      <c r="B10" s="217"/>
      <c r="C10" s="217"/>
      <c r="D10" s="217"/>
      <c r="E10" s="217"/>
      <c r="F10" s="217"/>
      <c r="G10" s="31">
        <v>3</v>
      </c>
      <c r="H10" s="101">
        <v>18805</v>
      </c>
      <c r="I10" s="101">
        <v>5889</v>
      </c>
    </row>
    <row r="11" spans="1:9" ht="22.15" customHeight="1" x14ac:dyDescent="0.2">
      <c r="A11" s="217" t="s">
        <v>172</v>
      </c>
      <c r="B11" s="217"/>
      <c r="C11" s="217"/>
      <c r="D11" s="217"/>
      <c r="E11" s="217"/>
      <c r="F11" s="217"/>
      <c r="G11" s="31">
        <v>4</v>
      </c>
      <c r="H11" s="101">
        <v>752551</v>
      </c>
      <c r="I11" s="101">
        <v>311705</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0</v>
      </c>
      <c r="I13" s="101">
        <v>0</v>
      </c>
    </row>
    <row r="14" spans="1:9" ht="12.75" customHeight="1" x14ac:dyDescent="0.2">
      <c r="A14" s="217" t="s">
        <v>175</v>
      </c>
      <c r="B14" s="217"/>
      <c r="C14" s="217"/>
      <c r="D14" s="217"/>
      <c r="E14" s="217"/>
      <c r="F14" s="217"/>
      <c r="G14" s="31">
        <v>7</v>
      </c>
      <c r="H14" s="101">
        <v>0</v>
      </c>
      <c r="I14" s="101">
        <v>0</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-66044</v>
      </c>
    </row>
    <row r="18" spans="1:9" ht="28.15" customHeight="1" x14ac:dyDescent="0.2">
      <c r="A18" s="239" t="s">
        <v>304</v>
      </c>
      <c r="B18" s="239"/>
      <c r="C18" s="239"/>
      <c r="D18" s="239"/>
      <c r="E18" s="239"/>
      <c r="F18" s="239"/>
      <c r="G18" s="32">
        <v>11</v>
      </c>
      <c r="H18" s="102">
        <f>H8+H9</f>
        <v>1642403</v>
      </c>
      <c r="I18" s="102">
        <f>I8+I9</f>
        <v>449193</v>
      </c>
    </row>
    <row r="19" spans="1:9" ht="12.75" customHeight="1" x14ac:dyDescent="0.2">
      <c r="A19" s="240" t="s">
        <v>179</v>
      </c>
      <c r="B19" s="240"/>
      <c r="C19" s="240"/>
      <c r="D19" s="240"/>
      <c r="E19" s="240"/>
      <c r="F19" s="240"/>
      <c r="G19" s="32">
        <v>12</v>
      </c>
      <c r="H19" s="102">
        <f>H20+H21+H22+H23</f>
        <v>-132479</v>
      </c>
      <c r="I19" s="102">
        <f>I20+I21+I22+I23</f>
        <v>-246813</v>
      </c>
    </row>
    <row r="20" spans="1:9" ht="12.75" customHeight="1" x14ac:dyDescent="0.2">
      <c r="A20" s="217" t="s">
        <v>180</v>
      </c>
      <c r="B20" s="217"/>
      <c r="C20" s="217"/>
      <c r="D20" s="217"/>
      <c r="E20" s="217"/>
      <c r="F20" s="217"/>
      <c r="G20" s="31">
        <v>13</v>
      </c>
      <c r="H20" s="101">
        <v>-29617</v>
      </c>
      <c r="I20" s="101">
        <f>-107515+664</f>
        <v>-106851</v>
      </c>
    </row>
    <row r="21" spans="1:9" ht="12.75" customHeight="1" x14ac:dyDescent="0.2">
      <c r="A21" s="217" t="s">
        <v>181</v>
      </c>
      <c r="B21" s="217"/>
      <c r="C21" s="217"/>
      <c r="D21" s="217"/>
      <c r="E21" s="217"/>
      <c r="F21" s="217"/>
      <c r="G21" s="31">
        <v>14</v>
      </c>
      <c r="H21" s="101">
        <v>-102862</v>
      </c>
      <c r="I21" s="101">
        <f>-121318-18644</f>
        <v>-139962</v>
      </c>
    </row>
    <row r="22" spans="1:9" ht="12.75" customHeight="1" x14ac:dyDescent="0.2">
      <c r="A22" s="217" t="s">
        <v>182</v>
      </c>
      <c r="B22" s="217"/>
      <c r="C22" s="217"/>
      <c r="D22" s="217"/>
      <c r="E22" s="217"/>
      <c r="F22" s="217"/>
      <c r="G22" s="31">
        <v>15</v>
      </c>
      <c r="H22" s="101">
        <v>0</v>
      </c>
      <c r="I22" s="101">
        <v>0</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1509924</v>
      </c>
      <c r="I24" s="102">
        <f>I18+I19</f>
        <v>202380</v>
      </c>
    </row>
    <row r="25" spans="1:9" ht="12.75" customHeight="1" x14ac:dyDescent="0.2">
      <c r="A25" s="182" t="s">
        <v>185</v>
      </c>
      <c r="B25" s="182"/>
      <c r="C25" s="182"/>
      <c r="D25" s="182"/>
      <c r="E25" s="182"/>
      <c r="F25" s="182"/>
      <c r="G25" s="31">
        <v>18</v>
      </c>
      <c r="H25" s="101">
        <v>0</v>
      </c>
      <c r="I25" s="101">
        <v>0</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1509924</v>
      </c>
      <c r="I27" s="102">
        <f>I24+I25+I26</f>
        <v>202380</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426823</v>
      </c>
    </row>
    <row r="35" spans="1:9" ht="26.45" customHeight="1" x14ac:dyDescent="0.2">
      <c r="A35" s="239" t="s">
        <v>195</v>
      </c>
      <c r="B35" s="239"/>
      <c r="C35" s="239"/>
      <c r="D35" s="239"/>
      <c r="E35" s="239"/>
      <c r="F35" s="239"/>
      <c r="G35" s="32">
        <v>27</v>
      </c>
      <c r="H35" s="104">
        <f>H29+H30+H31+H32+H33+H34</f>
        <v>0</v>
      </c>
      <c r="I35" s="104">
        <f>I29+I30+I31+I32+I33+I34</f>
        <v>426823</v>
      </c>
    </row>
    <row r="36" spans="1:9" ht="22.9" customHeight="1" x14ac:dyDescent="0.2">
      <c r="A36" s="182" t="s">
        <v>196</v>
      </c>
      <c r="B36" s="182"/>
      <c r="C36" s="182"/>
      <c r="D36" s="182"/>
      <c r="E36" s="182"/>
      <c r="F36" s="182"/>
      <c r="G36" s="31">
        <v>28</v>
      </c>
      <c r="H36" s="103">
        <f>-71584-1756</f>
        <v>-73340</v>
      </c>
      <c r="I36" s="103">
        <v>-1022199</v>
      </c>
    </row>
    <row r="37" spans="1:9" ht="12.75" customHeight="1" x14ac:dyDescent="0.2">
      <c r="A37" s="182" t="s">
        <v>197</v>
      </c>
      <c r="B37" s="182"/>
      <c r="C37" s="182"/>
      <c r="D37" s="182"/>
      <c r="E37" s="182"/>
      <c r="F37" s="182"/>
      <c r="G37" s="31">
        <v>29</v>
      </c>
      <c r="H37" s="103">
        <v>-263076</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-145833</v>
      </c>
      <c r="I40" s="103">
        <v>0</v>
      </c>
    </row>
    <row r="41" spans="1:9" ht="24" customHeight="1" x14ac:dyDescent="0.2">
      <c r="A41" s="239" t="s">
        <v>201</v>
      </c>
      <c r="B41" s="239"/>
      <c r="C41" s="239"/>
      <c r="D41" s="239"/>
      <c r="E41" s="239"/>
      <c r="F41" s="239"/>
      <c r="G41" s="32">
        <v>33</v>
      </c>
      <c r="H41" s="104">
        <f>H36+H37+H38+H39+H40</f>
        <v>-482249</v>
      </c>
      <c r="I41" s="104">
        <f>I36+I37+I38+I39+I40</f>
        <v>-1022199</v>
      </c>
    </row>
    <row r="42" spans="1:9" ht="29.45" customHeight="1" x14ac:dyDescent="0.2">
      <c r="A42" s="244" t="s">
        <v>202</v>
      </c>
      <c r="B42" s="244"/>
      <c r="C42" s="244"/>
      <c r="D42" s="244"/>
      <c r="E42" s="244"/>
      <c r="F42" s="244"/>
      <c r="G42" s="32">
        <v>34</v>
      </c>
      <c r="H42" s="104">
        <f>H35+H41</f>
        <v>-482249</v>
      </c>
      <c r="I42" s="104">
        <f>I35+I41</f>
        <v>-595376</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0</v>
      </c>
      <c r="I46" s="103">
        <v>275910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0</v>
      </c>
      <c r="I48" s="104">
        <f>I44+I45+I46+I47</f>
        <v>275910</v>
      </c>
    </row>
    <row r="49" spans="1:9" ht="24.6" customHeight="1" x14ac:dyDescent="0.2">
      <c r="A49" s="182" t="s">
        <v>303</v>
      </c>
      <c r="B49" s="182"/>
      <c r="C49" s="182"/>
      <c r="D49" s="182"/>
      <c r="E49" s="182"/>
      <c r="F49" s="182"/>
      <c r="G49" s="31">
        <v>40</v>
      </c>
      <c r="H49" s="103">
        <v>-658148</v>
      </c>
      <c r="I49" s="103">
        <v>0</v>
      </c>
    </row>
    <row r="50" spans="1:9" ht="12.75" customHeight="1" x14ac:dyDescent="0.2">
      <c r="A50" s="182" t="s">
        <v>209</v>
      </c>
      <c r="B50" s="182"/>
      <c r="C50" s="182"/>
      <c r="D50" s="182"/>
      <c r="E50" s="182"/>
      <c r="F50" s="182"/>
      <c r="G50" s="31">
        <v>41</v>
      </c>
      <c r="H50" s="103">
        <v>0</v>
      </c>
      <c r="I50" s="103">
        <v>-36000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-11458</v>
      </c>
      <c r="I53" s="103">
        <v>-6426</v>
      </c>
    </row>
    <row r="54" spans="1:9" ht="30.6" customHeight="1" x14ac:dyDescent="0.2">
      <c r="A54" s="239" t="s">
        <v>213</v>
      </c>
      <c r="B54" s="239"/>
      <c r="C54" s="239"/>
      <c r="D54" s="239"/>
      <c r="E54" s="239"/>
      <c r="F54" s="239"/>
      <c r="G54" s="32">
        <v>45</v>
      </c>
      <c r="H54" s="104">
        <f>H49+H50+H51+H52+H53</f>
        <v>-669606</v>
      </c>
      <c r="I54" s="104">
        <f>I49+I50+I51+I52+I53</f>
        <v>-42426</v>
      </c>
    </row>
    <row r="55" spans="1:9" ht="29.45" customHeight="1" x14ac:dyDescent="0.2">
      <c r="A55" s="244" t="s">
        <v>214</v>
      </c>
      <c r="B55" s="244"/>
      <c r="C55" s="244"/>
      <c r="D55" s="244"/>
      <c r="E55" s="244"/>
      <c r="F55" s="244"/>
      <c r="G55" s="32">
        <v>46</v>
      </c>
      <c r="H55" s="104">
        <f>H48+H54</f>
        <v>-669606</v>
      </c>
      <c r="I55" s="104">
        <f>I48+I54</f>
        <v>233484</v>
      </c>
    </row>
    <row r="56" spans="1:9" x14ac:dyDescent="0.2">
      <c r="A56" s="182" t="s">
        <v>215</v>
      </c>
      <c r="B56" s="182"/>
      <c r="C56" s="182"/>
      <c r="D56" s="182"/>
      <c r="E56" s="182"/>
      <c r="F56" s="182"/>
      <c r="G56" s="31">
        <v>47</v>
      </c>
      <c r="H56" s="103">
        <v>0</v>
      </c>
      <c r="I56" s="103"/>
    </row>
    <row r="57" spans="1:9" ht="26.45" customHeight="1" x14ac:dyDescent="0.2">
      <c r="A57" s="244" t="s">
        <v>216</v>
      </c>
      <c r="B57" s="244"/>
      <c r="C57" s="244"/>
      <c r="D57" s="244"/>
      <c r="E57" s="244"/>
      <c r="F57" s="244"/>
      <c r="G57" s="32">
        <v>48</v>
      </c>
      <c r="H57" s="104">
        <f>H27+H42+H55+H56</f>
        <v>358069</v>
      </c>
      <c r="I57" s="104">
        <f>I27+I42+I55+I56</f>
        <v>-159512</v>
      </c>
    </row>
    <row r="58" spans="1:9" x14ac:dyDescent="0.2">
      <c r="A58" s="245" t="s">
        <v>217</v>
      </c>
      <c r="B58" s="245"/>
      <c r="C58" s="245"/>
      <c r="D58" s="245"/>
      <c r="E58" s="245"/>
      <c r="F58" s="245"/>
      <c r="G58" s="31">
        <v>49</v>
      </c>
      <c r="H58" s="103">
        <v>564288</v>
      </c>
      <c r="I58" s="103">
        <v>190344</v>
      </c>
    </row>
    <row r="59" spans="1:9" ht="31.15" customHeight="1" x14ac:dyDescent="0.2">
      <c r="A59" s="244" t="s">
        <v>218</v>
      </c>
      <c r="B59" s="244"/>
      <c r="C59" s="244"/>
      <c r="D59" s="244"/>
      <c r="E59" s="244"/>
      <c r="F59" s="244"/>
      <c r="G59" s="32">
        <v>50</v>
      </c>
      <c r="H59" s="104">
        <f>H57+H58</f>
        <v>922357</v>
      </c>
      <c r="I59" s="104">
        <f>I57+I58</f>
        <v>30832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zoomScale="115" zoomScaleNormal="100" zoomScaleSheetLayoutView="115" workbookViewId="0">
      <selection activeCell="H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M34" zoomScaleNormal="100" zoomScaleSheetLayoutView="100" workbookViewId="0">
      <selection activeCell="G3" sqref="G3:G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1000000</v>
      </c>
      <c r="I7" s="120">
        <v>2313160</v>
      </c>
      <c r="J7" s="120">
        <v>23890</v>
      </c>
      <c r="K7" s="120">
        <v>0</v>
      </c>
      <c r="L7" s="120">
        <v>0</v>
      </c>
      <c r="M7" s="120">
        <v>0</v>
      </c>
      <c r="N7" s="120">
        <v>0</v>
      </c>
      <c r="O7" s="120">
        <v>-408471</v>
      </c>
      <c r="P7" s="120">
        <v>0</v>
      </c>
      <c r="Q7" s="120">
        <v>0</v>
      </c>
      <c r="R7" s="120">
        <v>0</v>
      </c>
      <c r="S7" s="120">
        <v>0</v>
      </c>
      <c r="T7" s="120">
        <v>0</v>
      </c>
      <c r="U7" s="120">
        <v>0</v>
      </c>
      <c r="V7" s="120">
        <v>1185656</v>
      </c>
      <c r="W7" s="120">
        <v>569047</v>
      </c>
      <c r="X7" s="122">
        <f>H7+I7+J7+K7-L7+M7+N7+O7+P7+Q7+R7+V7+W7+S7+T7+U7</f>
        <v>4683282</v>
      </c>
      <c r="Y7" s="120">
        <v>0</v>
      </c>
      <c r="Z7" s="122">
        <f>X7+Y7</f>
        <v>4683282</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1000000</v>
      </c>
      <c r="I10" s="122">
        <f t="shared" ref="I10:Z10" si="2">I7+I8+I9</f>
        <v>2313160</v>
      </c>
      <c r="J10" s="122">
        <f t="shared" si="2"/>
        <v>23890</v>
      </c>
      <c r="K10" s="122">
        <f>K7+K8+K9</f>
        <v>0</v>
      </c>
      <c r="L10" s="122">
        <f t="shared" si="2"/>
        <v>0</v>
      </c>
      <c r="M10" s="122">
        <f t="shared" si="2"/>
        <v>0</v>
      </c>
      <c r="N10" s="122">
        <f t="shared" si="2"/>
        <v>0</v>
      </c>
      <c r="O10" s="122">
        <f t="shared" si="2"/>
        <v>-408471</v>
      </c>
      <c r="P10" s="122">
        <f t="shared" si="2"/>
        <v>0</v>
      </c>
      <c r="Q10" s="122">
        <f t="shared" si="2"/>
        <v>0</v>
      </c>
      <c r="R10" s="122">
        <f t="shared" si="2"/>
        <v>0</v>
      </c>
      <c r="S10" s="122">
        <f t="shared" si="2"/>
        <v>0</v>
      </c>
      <c r="T10" s="122">
        <f>T7+T8+T9</f>
        <v>0</v>
      </c>
      <c r="U10" s="122">
        <f>U7+U8+U9</f>
        <v>0</v>
      </c>
      <c r="V10" s="122">
        <f>V7+V8+V9</f>
        <v>1185656</v>
      </c>
      <c r="W10" s="122">
        <f>W7+W8+W9</f>
        <v>569047</v>
      </c>
      <c r="X10" s="122">
        <f>X7+X8+X9</f>
        <v>4683282</v>
      </c>
      <c r="Y10" s="122">
        <f t="shared" si="2"/>
        <v>0</v>
      </c>
      <c r="Z10" s="122">
        <f t="shared" si="2"/>
        <v>4683282</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737868</v>
      </c>
      <c r="X11" s="122">
        <f>H11+I11+J11+K11-L11+M11+N11+O11+P11+Q11+R11+V11+W11+S11+T11+U11</f>
        <v>737868</v>
      </c>
      <c r="Y11" s="120">
        <v>0</v>
      </c>
      <c r="Z11" s="122">
        <f t="shared" ref="Z11:Z29" si="3">X11+Y11</f>
        <v>737868</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199243</v>
      </c>
      <c r="P13" s="119">
        <v>0</v>
      </c>
      <c r="Q13" s="119">
        <v>0</v>
      </c>
      <c r="R13" s="119">
        <v>0</v>
      </c>
      <c r="S13" s="119">
        <v>0</v>
      </c>
      <c r="T13" s="119">
        <v>0</v>
      </c>
      <c r="U13" s="120">
        <v>0</v>
      </c>
      <c r="V13" s="120">
        <v>0</v>
      </c>
      <c r="W13" s="120">
        <v>0</v>
      </c>
      <c r="X13" s="122">
        <f t="shared" si="4"/>
        <v>199243</v>
      </c>
      <c r="Y13" s="120">
        <v>0</v>
      </c>
      <c r="Z13" s="122">
        <f t="shared" si="3"/>
        <v>199243</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569047</v>
      </c>
      <c r="W28" s="120">
        <v>-569047</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1000000</v>
      </c>
      <c r="I30" s="122">
        <f t="shared" ref="I30:Z30" si="5">SUM(I10:I29)</f>
        <v>2313160</v>
      </c>
      <c r="J30" s="122">
        <f t="shared" si="5"/>
        <v>23890</v>
      </c>
      <c r="K30" s="122">
        <f t="shared" si="5"/>
        <v>0</v>
      </c>
      <c r="L30" s="122">
        <f t="shared" si="5"/>
        <v>0</v>
      </c>
      <c r="M30" s="122">
        <f t="shared" si="5"/>
        <v>0</v>
      </c>
      <c r="N30" s="122">
        <f t="shared" si="5"/>
        <v>0</v>
      </c>
      <c r="O30" s="122">
        <f t="shared" si="5"/>
        <v>-209228</v>
      </c>
      <c r="P30" s="122">
        <f t="shared" si="5"/>
        <v>0</v>
      </c>
      <c r="Q30" s="122">
        <f t="shared" si="5"/>
        <v>0</v>
      </c>
      <c r="R30" s="122">
        <f t="shared" si="5"/>
        <v>0</v>
      </c>
      <c r="S30" s="122">
        <f t="shared" si="5"/>
        <v>0</v>
      </c>
      <c r="T30" s="122">
        <f t="shared" si="5"/>
        <v>0</v>
      </c>
      <c r="U30" s="122">
        <f t="shared" si="5"/>
        <v>0</v>
      </c>
      <c r="V30" s="122">
        <f t="shared" si="5"/>
        <v>1754703</v>
      </c>
      <c r="W30" s="122">
        <f t="shared" si="5"/>
        <v>737868</v>
      </c>
      <c r="X30" s="122">
        <f>SUM(X10:X29)</f>
        <v>5620393</v>
      </c>
      <c r="Y30" s="122">
        <f t="shared" si="5"/>
        <v>0</v>
      </c>
      <c r="Z30" s="122">
        <f t="shared" si="5"/>
        <v>5620393</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199243</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199243</v>
      </c>
      <c r="Y32" s="122">
        <f t="shared" si="6"/>
        <v>0</v>
      </c>
      <c r="Z32" s="122">
        <f t="shared" si="6"/>
        <v>199243</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199243</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737868</v>
      </c>
      <c r="X33" s="122">
        <f>X11+X32</f>
        <v>937111</v>
      </c>
      <c r="Y33" s="122">
        <f t="shared" si="9"/>
        <v>0</v>
      </c>
      <c r="Z33" s="122">
        <f t="shared" si="9"/>
        <v>937111</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569047</v>
      </c>
      <c r="W34" s="122">
        <f t="shared" si="12"/>
        <v>-569047</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f>SUM(H16:H35)</f>
        <v>1000000</v>
      </c>
      <c r="I36" s="120">
        <f t="shared" ref="I36:U36" si="15">SUM(I16:I35)</f>
        <v>2313160</v>
      </c>
      <c r="J36" s="120">
        <f t="shared" si="15"/>
        <v>23890</v>
      </c>
      <c r="K36" s="120">
        <f t="shared" si="15"/>
        <v>0</v>
      </c>
      <c r="L36" s="120">
        <f t="shared" si="15"/>
        <v>0</v>
      </c>
      <c r="M36" s="120">
        <f t="shared" si="15"/>
        <v>0</v>
      </c>
      <c r="N36" s="120">
        <f t="shared" si="15"/>
        <v>0</v>
      </c>
      <c r="O36" s="120">
        <v>-209228</v>
      </c>
      <c r="P36" s="120">
        <f t="shared" si="15"/>
        <v>0</v>
      </c>
      <c r="Q36" s="120">
        <f t="shared" si="15"/>
        <v>0</v>
      </c>
      <c r="R36" s="120">
        <f t="shared" si="15"/>
        <v>0</v>
      </c>
      <c r="S36" s="120">
        <f t="shared" si="15"/>
        <v>0</v>
      </c>
      <c r="T36" s="120">
        <f t="shared" si="15"/>
        <v>0</v>
      </c>
      <c r="U36" s="120">
        <f t="shared" si="15"/>
        <v>0</v>
      </c>
      <c r="V36" s="120">
        <v>1754703</v>
      </c>
      <c r="W36" s="120">
        <v>737868</v>
      </c>
      <c r="X36" s="121">
        <f>H36+I36+J36+K36-L36+M36+N36+O36+P36+Q36+R36+V36+W36+S36+T36+U36</f>
        <v>5620393</v>
      </c>
      <c r="Y36" s="120">
        <v>0</v>
      </c>
      <c r="Z36" s="121">
        <f t="shared" ref="Z36:Z38" si="16">X36+Y36</f>
        <v>5620393</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v>0</v>
      </c>
      <c r="Z37" s="121">
        <f t="shared" si="16"/>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-1</v>
      </c>
      <c r="W38" s="120">
        <v>0</v>
      </c>
      <c r="X38" s="121">
        <f t="shared" si="17"/>
        <v>-1</v>
      </c>
      <c r="Y38" s="120">
        <v>0</v>
      </c>
      <c r="Z38" s="121">
        <f t="shared" si="16"/>
        <v>-1</v>
      </c>
    </row>
    <row r="39" spans="1:26" ht="25.5" customHeight="1" x14ac:dyDescent="0.2">
      <c r="A39" s="265" t="s">
        <v>412</v>
      </c>
      <c r="B39" s="265"/>
      <c r="C39" s="265"/>
      <c r="D39" s="265"/>
      <c r="E39" s="265"/>
      <c r="F39" s="265"/>
      <c r="G39" s="118">
        <v>31</v>
      </c>
      <c r="H39" s="122">
        <f>H36+H37+H38</f>
        <v>1000000</v>
      </c>
      <c r="I39" s="122">
        <f t="shared" ref="I39:Z39" si="18">I36+I37+I38</f>
        <v>2313160</v>
      </c>
      <c r="J39" s="122">
        <f t="shared" si="18"/>
        <v>23890</v>
      </c>
      <c r="K39" s="122">
        <f t="shared" si="18"/>
        <v>0</v>
      </c>
      <c r="L39" s="122">
        <f t="shared" si="18"/>
        <v>0</v>
      </c>
      <c r="M39" s="122">
        <f t="shared" si="18"/>
        <v>0</v>
      </c>
      <c r="N39" s="122">
        <f t="shared" si="18"/>
        <v>0</v>
      </c>
      <c r="O39" s="122">
        <f t="shared" si="18"/>
        <v>-209228</v>
      </c>
      <c r="P39" s="122">
        <f t="shared" si="18"/>
        <v>0</v>
      </c>
      <c r="Q39" s="122">
        <f t="shared" si="18"/>
        <v>0</v>
      </c>
      <c r="R39" s="122">
        <f t="shared" si="18"/>
        <v>0</v>
      </c>
      <c r="S39" s="122">
        <f t="shared" si="18"/>
        <v>0</v>
      </c>
      <c r="T39" s="122">
        <f t="shared" si="18"/>
        <v>0</v>
      </c>
      <c r="U39" s="122">
        <f t="shared" si="18"/>
        <v>0</v>
      </c>
      <c r="V39" s="122">
        <f t="shared" si="18"/>
        <v>1754702</v>
      </c>
      <c r="W39" s="122">
        <f t="shared" si="18"/>
        <v>737868</v>
      </c>
      <c r="X39" s="122">
        <f>X36+X37+X38</f>
        <v>5620392</v>
      </c>
      <c r="Y39" s="122">
        <f t="shared" si="18"/>
        <v>0</v>
      </c>
      <c r="Z39" s="122">
        <f t="shared" si="18"/>
        <v>5620392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RDG!J67</f>
        <v>162067</v>
      </c>
      <c r="X40" s="121">
        <f>H40+I40+J40+K40-L40+M40+N40+O40+P40+Q40+R40+V40+W40+S40+T40+U40</f>
        <v>162067</v>
      </c>
      <c r="Y40" s="120">
        <v>0</v>
      </c>
      <c r="Z40" s="121">
        <f t="shared" ref="Z40:Z58" si="19">X40+Y40</f>
        <v>162067</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20">H41+I41+J41+K41-L41+M41+N41+O41+P41+Q41+R41+V41+W41+S41+T41+U41</f>
        <v>0</v>
      </c>
      <c r="Y41" s="120">
        <v>0</v>
      </c>
      <c r="Z41" s="121">
        <f t="shared" si="19"/>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f>209228-133954</f>
        <v>75274</v>
      </c>
      <c r="P42" s="119">
        <v>0</v>
      </c>
      <c r="Q42" s="119">
        <v>0</v>
      </c>
      <c r="R42" s="119">
        <v>0</v>
      </c>
      <c r="S42" s="119">
        <v>0</v>
      </c>
      <c r="T42" s="119">
        <v>0</v>
      </c>
      <c r="U42" s="120">
        <v>0</v>
      </c>
      <c r="V42" s="120">
        <v>0</v>
      </c>
      <c r="W42" s="120">
        <v>0</v>
      </c>
      <c r="X42" s="121">
        <f t="shared" si="20"/>
        <v>75274</v>
      </c>
      <c r="Y42" s="120">
        <v>0</v>
      </c>
      <c r="Z42" s="121">
        <f t="shared" si="19"/>
        <v>75274</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20"/>
        <v>0</v>
      </c>
      <c r="Y48" s="120">
        <v>0</v>
      </c>
      <c r="Z48" s="121">
        <f t="shared" si="19"/>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20"/>
        <v>0</v>
      </c>
      <c r="Y53" s="120">
        <v>0</v>
      </c>
      <c r="Z53" s="121">
        <f t="shared" si="19"/>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-36000</v>
      </c>
      <c r="W55" s="120">
        <v>0</v>
      </c>
      <c r="X55" s="121">
        <f t="shared" si="20"/>
        <v>-36000</v>
      </c>
      <c r="Y55" s="120">
        <v>0</v>
      </c>
      <c r="Z55" s="121">
        <f t="shared" si="19"/>
        <v>-36000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20"/>
        <v>0</v>
      </c>
      <c r="Y56" s="120">
        <v>0</v>
      </c>
      <c r="Z56" s="121">
        <f t="shared" si="19"/>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737868</v>
      </c>
      <c r="W57" s="120">
        <v>-737868</v>
      </c>
      <c r="X57" s="121">
        <f t="shared" si="20"/>
        <v>0</v>
      </c>
      <c r="Y57" s="120">
        <v>0</v>
      </c>
      <c r="Z57" s="121">
        <f t="shared" si="19"/>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
      <c r="A59" s="265" t="s">
        <v>415</v>
      </c>
      <c r="B59" s="265"/>
      <c r="C59" s="265"/>
      <c r="D59" s="265"/>
      <c r="E59" s="265"/>
      <c r="F59" s="265"/>
      <c r="G59" s="118">
        <v>51</v>
      </c>
      <c r="H59" s="122">
        <f>SUM(H39:H58)</f>
        <v>1000000</v>
      </c>
      <c r="I59" s="122">
        <f t="shared" ref="I59:Z59" si="21">SUM(I39:I58)</f>
        <v>2313160</v>
      </c>
      <c r="J59" s="122">
        <f t="shared" si="21"/>
        <v>23890</v>
      </c>
      <c r="K59" s="122">
        <f t="shared" si="21"/>
        <v>0</v>
      </c>
      <c r="L59" s="122">
        <f t="shared" si="21"/>
        <v>0</v>
      </c>
      <c r="M59" s="122">
        <f t="shared" si="21"/>
        <v>0</v>
      </c>
      <c r="N59" s="122">
        <f t="shared" si="21"/>
        <v>0</v>
      </c>
      <c r="O59" s="122">
        <f t="shared" si="21"/>
        <v>-133954</v>
      </c>
      <c r="P59" s="122">
        <f t="shared" si="21"/>
        <v>0</v>
      </c>
      <c r="Q59" s="122">
        <f t="shared" si="21"/>
        <v>0</v>
      </c>
      <c r="R59" s="122">
        <f t="shared" si="21"/>
        <v>0</v>
      </c>
      <c r="S59" s="122">
        <f t="shared" si="21"/>
        <v>0</v>
      </c>
      <c r="T59" s="122">
        <f t="shared" si="21"/>
        <v>0</v>
      </c>
      <c r="U59" s="122">
        <f t="shared" si="21"/>
        <v>0</v>
      </c>
      <c r="V59" s="122">
        <f t="shared" si="21"/>
        <v>2456570</v>
      </c>
      <c r="W59" s="122">
        <f t="shared" si="21"/>
        <v>162067</v>
      </c>
      <c r="X59" s="122">
        <f>SUM(X39:X58)</f>
        <v>5821733</v>
      </c>
      <c r="Y59" s="122">
        <f t="shared" si="21"/>
        <v>0</v>
      </c>
      <c r="Z59" s="122">
        <f t="shared" si="21"/>
        <v>5821733</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75274</v>
      </c>
      <c r="P61" s="121">
        <f t="shared" si="22"/>
        <v>0</v>
      </c>
      <c r="Q61" s="121">
        <f t="shared" si="22"/>
        <v>0</v>
      </c>
      <c r="R61" s="121">
        <f t="shared" si="22"/>
        <v>0</v>
      </c>
      <c r="S61" s="121">
        <f t="shared" ref="S61:T61" si="23">SUM(S41:S49)</f>
        <v>0</v>
      </c>
      <c r="T61" s="121">
        <f t="shared" si="23"/>
        <v>0</v>
      </c>
      <c r="U61" s="121">
        <f t="shared" ref="U61" si="24">SUM(U41:U49)</f>
        <v>0</v>
      </c>
      <c r="V61" s="121">
        <f t="shared" si="22"/>
        <v>0</v>
      </c>
      <c r="W61" s="121">
        <f t="shared" si="22"/>
        <v>0</v>
      </c>
      <c r="X61" s="121">
        <f>SUM(X41:X49)</f>
        <v>75274</v>
      </c>
      <c r="Y61" s="121">
        <f t="shared" si="22"/>
        <v>0</v>
      </c>
      <c r="Z61" s="121">
        <f t="shared" si="22"/>
        <v>75274</v>
      </c>
    </row>
    <row r="62" spans="1:26" ht="27.75" customHeight="1" x14ac:dyDescent="0.2">
      <c r="A62" s="276" t="s">
        <v>417</v>
      </c>
      <c r="B62" s="276"/>
      <c r="C62" s="276"/>
      <c r="D62" s="276"/>
      <c r="E62" s="276"/>
      <c r="F62" s="276"/>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75274</v>
      </c>
      <c r="P62" s="121">
        <f t="shared" si="25"/>
        <v>0</v>
      </c>
      <c r="Q62" s="121">
        <f t="shared" si="25"/>
        <v>0</v>
      </c>
      <c r="R62" s="121">
        <f t="shared" si="25"/>
        <v>0</v>
      </c>
      <c r="S62" s="121">
        <f t="shared" ref="S62:T62" si="26">S40+S61</f>
        <v>0</v>
      </c>
      <c r="T62" s="121">
        <f t="shared" si="26"/>
        <v>0</v>
      </c>
      <c r="U62" s="121">
        <f t="shared" ref="U62" si="27">U40+U61</f>
        <v>0</v>
      </c>
      <c r="V62" s="121">
        <f t="shared" si="25"/>
        <v>0</v>
      </c>
      <c r="W62" s="121">
        <f t="shared" si="25"/>
        <v>162067</v>
      </c>
      <c r="X62" s="121">
        <f>X40+X61</f>
        <v>237341</v>
      </c>
      <c r="Y62" s="121">
        <f t="shared" si="25"/>
        <v>0</v>
      </c>
      <c r="Z62" s="121">
        <f t="shared" si="25"/>
        <v>237341</v>
      </c>
    </row>
    <row r="63" spans="1:26" ht="29.25" customHeight="1" x14ac:dyDescent="0.2">
      <c r="A63" s="276" t="s">
        <v>418</v>
      </c>
      <c r="B63" s="276"/>
      <c r="C63" s="276"/>
      <c r="D63" s="276"/>
      <c r="E63" s="276"/>
      <c r="F63" s="276"/>
      <c r="G63" s="118">
        <v>54</v>
      </c>
      <c r="H63" s="121">
        <f>SUM(H50:H58)</f>
        <v>0</v>
      </c>
      <c r="I63" s="121">
        <f t="shared" ref="I63:Z63" si="28">SUM(I50:I58)</f>
        <v>0</v>
      </c>
      <c r="J63" s="121">
        <f t="shared" si="28"/>
        <v>0</v>
      </c>
      <c r="K63" s="121">
        <f t="shared" si="28"/>
        <v>0</v>
      </c>
      <c r="L63" s="121">
        <f t="shared" si="28"/>
        <v>0</v>
      </c>
      <c r="M63" s="121">
        <f t="shared" si="28"/>
        <v>0</v>
      </c>
      <c r="N63" s="121">
        <f t="shared" si="28"/>
        <v>0</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701868</v>
      </c>
      <c r="W63" s="121">
        <f t="shared" si="28"/>
        <v>-737868</v>
      </c>
      <c r="X63" s="121">
        <f>SUM(X50:X58)</f>
        <v>-36000</v>
      </c>
      <c r="Y63" s="121">
        <f t="shared" si="28"/>
        <v>0</v>
      </c>
      <c r="Z63" s="121">
        <f t="shared" si="28"/>
        <v>-36000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66" zoomScaleNormal="66" workbookViewId="0">
      <selection sqref="A1:I40"/>
    </sheetView>
  </sheetViews>
  <sheetFormatPr defaultRowHeight="12.75" x14ac:dyDescent="0.2"/>
  <cols>
    <col min="9" max="9" width="95" customWidth="1"/>
  </cols>
  <sheetData>
    <row r="1" spans="1:9" ht="12.75" customHeight="1" x14ac:dyDescent="0.2">
      <c r="A1" s="277" t="s">
        <v>469</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Lucija Štengl</cp:lastModifiedBy>
  <cp:lastPrinted>2026-10-26T10:04:54Z</cp:lastPrinted>
  <dcterms:created xsi:type="dcterms:W3CDTF">2008-10-17T11:51:54Z</dcterms:created>
  <dcterms:modified xsi:type="dcterms:W3CDTF">2026-10-26T10:05:02Z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