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'Kont'!$A$8:$N$166</definedName>
    <definedName name="_xlnm.Print_Area" localSheetId="1">'Naslovna'!$A$2:$BB$14</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'RefStr'!$A$1:$V$78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<sst xmlns="http://schemas.openxmlformats.org/spreadsheetml/2006/main" count="3664" uniqueCount="2966">
  <si>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</si>
  <si>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</si>
  <si>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</si>
  <si>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</si>
  <si>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</si>
  <si>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</si>
  <si>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</si>
  <si>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</si>
  <si>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</si>
  <si>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</si>
  <si>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</si>
  <si>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</si>
  <si>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</si>
  <si>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</si>
  <si>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</si>
  <si>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</si>
  <si>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</si>
  <si>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</si>
  <si>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</si>
  <si>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</si>
  <si>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</si>
  <si>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</si>
  <si>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</si>
  <si>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</si>
  <si>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</si>
  <si>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</si>
  <si>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</si>
  <si>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</si>
  <si>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</si>
  <si>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</si>
  <si>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</si>
  <si>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</si>
  <si>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</si>
  <si>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</si>
  <si>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</si>
  <si>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</si>
  <si>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</si>
  <si>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</si>
  <si>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</si>
  <si>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</si>
  <si>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</si>
  <si>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</si>
  <si>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</si>
  <si>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</si>
  <si>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</si>
  <si>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</si>
  <si>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</si>
  <si>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</si>
  <si>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</si>
  <si>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</si>
  <si>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</si>
  <si>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</si>
  <si>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</si>
  <si>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</si>
  <si>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</si>
  <si>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</si>
  <si>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</si>
  <si>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</si>
  <si>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</si>
  <si>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</si>
  <si>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</si>
  <si>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</si>
  <si>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</si>
  <si>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</si>
  <si>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</si>
  <si>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</si>
  <si>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</si>
  <si>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</si>
  <si>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</si>
  <si>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</si>
  <si>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</si>
  <si>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</si>
  <si>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</si>
  <si>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</si>
  <si>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</si>
  <si>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</si>
  <si>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</si>
  <si>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</si>
  <si>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</si>
  <si>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</si>
  <si>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</si>
  <si>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</si>
  <si>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</si>
  <si>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</si>
  <si>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</si>
  <si>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</si>
  <si>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</si>
  <si>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</si>
  <si>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</si>
  <si>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</si>
  <si>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</si>
  <si>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</si>
  <si>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</si>
  <si>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</si>
  <si>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</si>
  <si>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</si>
  <si>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</si>
  <si>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</si>
  <si>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</si>
  <si>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</si>
  <si>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</si>
  <si>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</si>
  <si>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</si>
  <si>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</si>
  <si>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</si>
  <si>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</si>
  <si>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</si>
  <si>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</si>
  <si>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</si>
  <si>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</si>
  <si>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</si>
  <si>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</si>
  <si>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</si>
  <si>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</si>
  <si>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</si>
  <si>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</si>
  <si>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</si>
  <si>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</si>
  <si>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</si>
  <si>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</si>
  <si>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</si>
  <si>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</si>
  <si>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</si>
  <si>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</si>
  <si>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</si>
  <si>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</si>
  <si>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</si>
  <si>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</si>
  <si>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</si>
  <si>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</si>
  <si>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</si>
  <si>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</si>
  <si>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</si>
  <si>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</si>
  <si>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</si>
  <si>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</si>
  <si>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</si>
  <si>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</si>
  <si>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</si>
  <si>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</si>
  <si>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</si>
  <si>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</si>
  <si>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</si>
  <si>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</si>
  <si>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</si>
  <si>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</si>
  <si>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</si>
  <si>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</si>
  <si>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</si>
  <si>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</si>
  <si>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</si>
  <si>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</si>
  <si>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</si>
  <si>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</si>
  <si>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</si>
  <si>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</si>
  <si>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</si>
  <si>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</si>
  <si>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</si>
  <si>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</si>
  <si>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</si>
  <si>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</si>
  <si>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</si>
  <si>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</si>
  <si>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</si>
  <si>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</si>
  <si>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</si>
  <si>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</si>
  <si>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</si>
  <si>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</si>
  <si>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</si>
  <si>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</si>
  <si>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</si>
  <si>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</si>
  <si>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</si>
  <si>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</si>
  <si>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</si>
  <si>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</si>
  <si>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</si>
  <si>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</si>
  <si>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</si>
  <si>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</si>
  <si>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</si>
  <si>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</si>
  <si>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</si>
  <si>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</si>
  <si>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</si>
  <si>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</si>
  <si>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</si>
  <si>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</si>
  <si>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</si>
  <si>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</si>
  <si>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</si>
  <si>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</si>
  <si>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</si>
  <si>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</si>
  <si>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</si>
  <si>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</si>
  <si>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</si>
  <si>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</si>
  <si>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</si>
  <si>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</si>
  <si>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</si>
  <si>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</si>
  <si>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</si>
  <si>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</si>
  <si>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</si>
  <si>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</si>
  <si>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</si>
  <si>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</si>
  <si>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</si>
  <si>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</si>
  <si>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</si>
  <si>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</si>
  <si>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</si>
  <si>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</si>
  <si>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</si>
  <si>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</si>
  <si>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</si>
  <si>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</si>
  <si>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</si>
  <si>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</si>
  <si>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</si>
  <si>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</si>
  <si>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</si>
  <si>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</si>
  <si>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</si>
  <si>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</si>
  <si>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</si>
  <si>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</si>
  <si>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</si>
  <si>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</si>
  <si>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</si>
  <si>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</si>
  <si>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</si>
  <si>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</si>
  <si>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</si>
  <si>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</si>
  <si>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</si>
  <si>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</si>
  <si>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</si>
  <si>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</si>
  <si>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</si>
  <si>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</si>
  <si>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</si>
  <si>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</si>
  <si>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</si>
  <si>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</si>
  <si>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</si>
  <si>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</si>
  <si>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</si>
  <si>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</si>
  <si>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</si>
  <si>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</si>
  <si>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</si>
  <si>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</si>
  <si>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</si>
  <si>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</si>
  <si>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</si>
  <si>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</si>
  <si>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</si>
  <si>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</si>
  <si>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</si>
  <si>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</si>
  <si>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</si>
  <si>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</si>
  <si>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</si>
  <si>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</si>
  <si>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</si>
  <si>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</si>
  <si>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</si>
  <si>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</si>
  <si>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</si>
  <si>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</si>
  <si>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</si>
  <si>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</si>
  <si>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</si>
  <si>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</si>
  <si>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</si>
  <si>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</si>
  <si>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</si>
  <si>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</si>
  <si>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</si>
  <si>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</si>
  <si>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</si>
  <si>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</si>
  <si>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</si>
  <si>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</si>
  <si>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</si>
  <si>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</si>
  <si>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</si>
  <si>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</si>
  <si>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</si>
  <si>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</si>
  <si>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</si>
  <si>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</si>
  <si>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</si>
  <si>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</si>
  <si>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</si>
  <si>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</si>
  <si>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</si>
  <si>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</si>
  <si>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</si>
  <si>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</si>
  <si>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</si>
  <si>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</si>
  <si>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</si>
  <si>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</si>
  <si>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</si>
  <si>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</si>
  <si>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</si>
  <si>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</si>
  <si>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</si>
  <si>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</si>
  <si>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</si>
  <si>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</si>
  <si>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</si>
  <si>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</si>
  <si>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</si>
  <si>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</si>
  <si>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</si>
  <si>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</si>
  <si>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</si>
  <si>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</si>
  <si>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</si>
  <si>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</si>
  <si>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</si>
  <si>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</si>
  <si>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</si>
  <si>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</si>
  <si>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</si>
  <si>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</si>
  <si>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</si>
  <si>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</si>
  <si>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</si>
  <si>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</si>
  <si>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</si>
  <si>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</si>
  <si>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</si>
  <si>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</si>
  <si>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</si>
  <si>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</si>
  <si>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</si>
  <si>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</si>
  <si>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</si>
  <si>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</si>
  <si>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</si>
  <si>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</si>
  <si>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</si>
  <si>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</si>
  <si>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</si>
  <si>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</si>
  <si>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</si>
  <si>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</si>
  <si>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</si>
  <si>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</si>
  <si>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</si>
  <si>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</si>
  <si>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</si>
  <si>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</si>
  <si>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</si>
  <si>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</si>
  <si>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</si>
  <si>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</si>
  <si>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</si>
  <si>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</si>
  <si>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</si>
  <si>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</si>
  <si>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</si>
  <si>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</si>
  <si>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</si>
  <si>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</si>
  <si>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</si>
  <si>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</si>
  <si>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</si>
  <si>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</si>
  <si>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</si>
  <si>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</si>
  <si>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</si>
  <si>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</si>
  <si>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</si>
  <si>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</si>
  <si>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</si>
  <si>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</si>
  <si>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</si>
  <si>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</si>
  <si>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</si>
  <si>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</si>
  <si>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</si>
  <si>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</si>
  <si>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</si>
  <si>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</si>
  <si>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</si>
  <si>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</si>
  <si>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</si>
  <si>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</si>
  <si>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</si>
  <si>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</si>
  <si>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</si>
  <si>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</si>
  <si>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</si>
  <si>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</si>
  <si>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</si>
  <si>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</si>
  <si>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</si>
  <si>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</si>
  <si>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</si>
  <si>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</si>
  <si>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</si>
  <si>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</si>
  <si>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</si>
  <si>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</si>
  <si>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</si>
  <si>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</si>
  <si>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</si>
  <si>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</si>
  <si>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</si>
  <si>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</si>
  <si>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</si>
  <si>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</si>
  <si>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</si>
  <si>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</si>
  <si>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</si>
  <si>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</si>
  <si>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</si>
  <si>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</si>
  <si>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</si>
  <si>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</si>
  <si>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</si>
  <si>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</si>
  <si>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</si>
  <si>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</si>
  <si>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</si>
  <si>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</si>
  <si>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</si>
  <si>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</si>
  <si>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</si>
  <si>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</si>
  <si>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</si>
  <si>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</si>
  <si>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</si>
  <si>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</si>
  <si>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</si>
  <si>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</si>
  <si>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</si>
  <si>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</si>
  <si>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</si>
  <si>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</si>
  <si>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</si>
  <si>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</si>
  <si>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</si>
  <si>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</si>
  <si>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</si>
  <si>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</si>
  <si>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</si>
  <si>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</si>
  <si>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</si>
  <si>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</si>
  <si>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</si>
  <si>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</si>
  <si>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</si>
  <si>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</si>
  <si>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</si>
  <si>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</si>
  <si>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</si>
  <si>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</si>
  <si>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</si>
  <si>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</si>
  <si>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</si>
  <si>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</si>
  <si>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</si>
  <si>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</si>
  <si>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</si>
  <si>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</si>
  <si>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</si>
  <si>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</si>
  <si>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</si>
  <si>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</si>
  <si>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</si>
  <si>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</si>
  <si>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</si>
  <si>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</si>
  <si>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</si>
  <si>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</si>
  <si>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</si>
  <si>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</si>
  <si>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</si>
  <si>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</si>
  <si>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</si>
  <si>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</si>
  <si>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</si>
  <si>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</si>
  <si>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</si>
  <si>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</si>
  <si>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</si>
  <si>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</si>
  <si>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</si>
  <si>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</si>
  <si>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</si>
  <si>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</si>
  <si>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</si>
  <si>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</si>
  <si>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</si>
  <si>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</si>
  <si>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</si>
  <si>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</si>
  <si>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</si>
  <si>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</si>
  <si>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</si>
  <si>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</si>
  <si>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</si>
  <si>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</si>
  <si>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</si>
  <si>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</si>
  <si>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</si>
  <si>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</si>
  <si>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</si>
  <si>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</si>
  <si>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</si>
  <si>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</si>
  <si>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</si>
  <si>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</si>
  <si>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</si>
  <si>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</si>
  <si>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</si>
  <si>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</si>
  <si>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</si>
  <si>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</si>
  <si>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</si>
  <si>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</si>
  <si>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</si>
  <si>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</si>
  <si>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</si>
  <si>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</si>
  <si>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</si>
  <si>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</si>
  <si>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</si>
  <si>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</si>
  <si>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</si>
  <si>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</si>
  <si>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</si>
  <si>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</si>
  <si>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</si>
  <si>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</si>
  <si>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</si>
  <si>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</si>
  <si>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</si>
  <si>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</si>
  <si>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</si>
  <si>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</si>
  <si>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</si>
  <si>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</si>
  <si>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</si>
  <si>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</si>
  <si>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</si>
  <si>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</si>
  <si>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</si>
  <si>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</si>
  <si>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</si>
  <si>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</si>
  <si>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</si>
  <si>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</si>
  <si>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</si>
  <si>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</si>
  <si>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</si>
  <si>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</si>
  <si>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</si>
  <si>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</si>
  <si>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</si>
  <si>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</si>
  <si>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</si>
  <si>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</si>
  <si>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</si>
  <si>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</si>
  <si>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</si>
  <si>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</si>
  <si>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</si>
  <si>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</si>
  <si>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</si>
  <si>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</si>
  <si>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</si>
  <si>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</si>
  <si>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</si>
  <si>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</si>
  <si>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</si>
  <si>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</si>
  <si>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</si>
  <si>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</si>
  <si>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</si>
  <si>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</si>
  <si>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</si>
  <si>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</si>
  <si>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</si>
  <si>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</si>
  <si>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</si>
  <si>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</si>
  <si>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</si>
  <si>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</si>
  <si>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</si>
  <si>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</si>
  <si>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</si>
  <si>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</si>
  <si>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</si>
  <si>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</si>
  <si>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</si>
  <si>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</si>
  <si>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</si>
  <si>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</si>
  <si>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</si>
  <si>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</si>
  <si>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</si>
  <si>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</si>
  <si>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</si>
  <si>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</si>
  <si>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</si>
  <si>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</si>
  <si>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</si>
  <si>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</si>
  <si>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</si>
  <si>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</si>
  <si>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</si>
  <si>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</si>
  <si>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</si>
  <si>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</si>
  <si>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</si>
  <si>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</si>
  <si>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</si>
  <si>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</si>
  <si>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</si>
  <si>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</si>
  <si>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</si>
  <si>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</si>
  <si>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</si>
  <si>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</si>
  <si>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</si>
  <si>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</si>
  <si>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</si>
  <si>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</si>
  <si>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</si>
  <si>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</si>
  <si>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</si>
  <si>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</si>
  <si>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</si>
  <si>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</si>
  <si>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</si>
  <si>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</si>
  <si>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</si>
  <si>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</si>
  <si>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</si>
  <si>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</si>
  <si>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</si>
  <si>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</si>
  <si>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</si>
  <si>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</si>
  <si>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</si>
  <si>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</si>
  <si>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</si>
  <si>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</si>
  <si>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</si>
  <si>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</si>
  <si>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</si>
  <si>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</si>
  <si>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</si>
  <si>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</si>
  <si>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</si>
  <si>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</si>
  <si>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</si>
  <si>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</si>
  <si>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</si>
  <si>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</si>
  <si>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</si>
  <si>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</si>
  <si>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</si>
  <si>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</si>
  <si>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</si>
  <si>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</si>
  <si>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</si>
  <si>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</si>
  <si>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</si>
  <si>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</si>
  <si>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</si>
  <si>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</si>
  <si>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</si>
  <si>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</si>
  <si>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</si>
  <si>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</si>
  <si>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</si>
  <si>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</si>
  <si>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</si>
  <si>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</si>
  <si>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</si>
  <si>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</si>
  <si>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</si>
  <si>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</si>
  <si>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</si>
  <si>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</si>
  <si>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</si>
  <si>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</si>
  <si>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</si>
  <si>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</si>
  <si>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</si>
  <si>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</si>
  <si>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</si>
  <si>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</si>
  <si>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</si>
  <si>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</si>
  <si>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</si>
  <si>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</si>
  <si>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</si>
  <si>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</si>
  <si>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</si>
  <si>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</si>
  <si>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</si>
  <si>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</si>
  <si>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</si>
  <si>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</si>
  <si>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</si>
  <si>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</si>
  <si>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</si>
  <si>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</si>
  <si>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</si>
  <si>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</si>
  <si>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</si>
  <si>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</si>
  <si>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</si>
  <si>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</si>
  <si>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</si>
  <si>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</si>
  <si>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</si>
  <si>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</si>
  <si>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</si>
  <si>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</si>
  <si>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</si>
  <si>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</si>
  <si>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</si>
  <si>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</si>
  <si>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</si>
  <si>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</si>
  <si>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</si>
  <si>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</si>
  <si>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</si>
  <si>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</si>
  <si>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</si>
  <si>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</si>
  <si>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</si>
  <si>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</si>
  <si>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</si>
  <si>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</si>
  <si>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</si>
  <si>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</si>
  <si>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</si>
  <si>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</si>
  <si>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</si>
  <si>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</si>
  <si>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</si>
  <si>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</si>
  <si>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</si>
  <si>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</si>
  <si>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</si>
  <si>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</si>
  <si>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</si>
  <si>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</si>
  <si>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</si>
  <si>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</si>
  <si>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</si>
  <si>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</si>
  <si>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</si>
  <si>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</si>
  <si>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</si>
  <si>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</si>
  <si>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</si>
  <si>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</si>
  <si>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</si>
  <si>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</si>
  <si>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</si>
  <si>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</si>
  <si>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</si>
  <si>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</si>
  <si>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</si>
  <si>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</si>
  <si>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</si>
  <si>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</si>
  <si>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</si>
  <si>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</si>
  <si>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</si>
  <si>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</si>
  <si>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</si>
  <si>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</si>
  <si>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</si>
  <si>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</si>
  <si>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</si>
  <si>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</si>
  <si>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</si>
  <si>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</si>
  <si>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</si>
  <si>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</si>
  <si>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</si>
  <si>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</si>
  <si>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</si>
  <si>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</si>
  <si>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</si>
  <si>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</si>
  <si>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</si>
  <si>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</si>
  <si>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</si>
  <si>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</si>
  <si>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</si>
  <si>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</si>
  <si>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</si>
  <si>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</si>
  <si>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</si>
  <si>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</si>
  <si>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</si>
  <si>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</si>
  <si>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</si>
  <si>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</si>
  <si>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</si>
  <si>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</si>
  <si>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</si>
  <si>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</si>
  <si>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</si>
  <si>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</si>
  <si>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</si>
  <si>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</si>
  <si>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</si>
  <si>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</si>
  <si>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</si>
  <si>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</si>
  <si>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</si>
  <si>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</si>
  <si>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</si>
  <si>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</si>
  <si>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</si>
  <si>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</si>
  <si>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</si>
  <si>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</si>
  <si>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</si>
  <si>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</si>
  <si>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</si>
  <si>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</si>
  <si>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</si>
  <si>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</si>
  <si>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</si>
  <si>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</si>
  <si>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</si>
  <si>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</si>
  <si>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</si>
  <si>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</si>
  <si>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</si>
  <si>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</si>
  <si>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</si>
  <si>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</si>
  <si>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</si>
  <si>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</si>
  <si>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</si>
  <si>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</si>
  <si>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</si>
  <si>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</si>
  <si>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</si>
  <si>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</si>
  <si>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</si>
  <si>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</si>
  <si>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</si>
  <si>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</si>
  <si>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</si>
  <si>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</si>
  <si>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</si>
  <si>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</si>
  <si>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</si>
  <si>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</si>
  <si>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</si>
  <si>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</si>
  <si>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</si>
  <si>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</si>
  <si>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</si>
  <si>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</si>
  <si>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</si>
  <si>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</si>
  <si>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</si>
  <si>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</si>
  <si>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</si>
  <si>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</si>
  <si>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</si>
  <si>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</si>
  <si>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</si>
  <si>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</si>
  <si>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</si>
  <si>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</si>
  <si>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</si>
  <si>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</si>
  <si>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</si>
  <si>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</si>
  <si>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</si>
  <si>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</si>
  <si>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</si>
  <si>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</si>
  <si>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</si>
  <si>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</si>
  <si>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</si>
  <si>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</si>
  <si>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</si>
  <si>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</si>
  <si>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</si>
  <si>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</si>
  <si>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</si>
  <si>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</si>
  <si>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</si>
  <si>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</si>
  <si>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</si>
  <si>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</si>
  <si>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</si>
  <si>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</si>
  <si>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</si>
  <si>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</si>
  <si>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</si>
  <si>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</si>
  <si>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</si>
  <si>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</si>
  <si>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</si>
  <si>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</si>
  <si>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</si>
  <si>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</si>
  <si>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</si>
  <si>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</si>
  <si>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</si>
  <si>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</si>
  <si>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</si>
  <si>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</si>
  <si>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</si>
  <si>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</si>
  <si>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</si>
  <si>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</si>
  <si>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</si>
  <si>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</si>
  <si>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</si>
  <si>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</si>
  <si>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</si>
  <si>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</si>
  <si>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</si>
  <si>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</si>
  <si>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</si>
  <si>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</si>
  <si>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</si>
  <si>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</si>
  <si>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</si>
  <si>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</si>
  <si>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</si>
  <si>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</si>
  <si>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</si>
  <si>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</si>
  <si>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</si>
  <si>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</si>
  <si>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</si>
  <si>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</si>
  <si>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</si>
  <si>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</si>
  <si>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</si>
  <si>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</si>
  <si>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</si>
  <si>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</si>
  <si>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</si>
  <si>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</si>
  <si>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</si>
  <si>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</si>
  <si>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</si>
  <si>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</si>
  <si>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</si>
  <si>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</si>
  <si>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</si>
  <si>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</si>
  <si>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</si>
  <si>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</si>
  <si>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</si>
  <si>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</si>
  <si>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</si>
  <si>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</si>
  <si>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</si>
  <si>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</si>
  <si>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</si>
  <si>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</si>
  <si>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</si>
  <si>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</si>
  <si>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</si>
  <si>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</si>
  <si>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</si>
  <si>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</si>
  <si>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</si>
  <si>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</si>
  <si>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</si>
  <si>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</si>
  <si>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</si>
  <si>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</si>
  <si>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</si>
  <si>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</si>
  <si>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</si>
  <si>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</si>
  <si>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</si>
  <si>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</si>
  <si>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</si>
  <si>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</si>
  <si>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</si>
  <si>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</si>
  <si>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</si>
  <si>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</si>
  <si>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</si>
  <si>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</si>
  <si>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</si>
  <si>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</si>
  <si>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</si>
  <si>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</si>
  <si>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</si>
  <si>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</si>
  <si>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</si>
  <si>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</si>
  <si>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</si>
  <si>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</si>
  <si>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</si>
  <si>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</si>
  <si>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</si>
  <si>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</si>
  <si>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</si>
  <si>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</si>
  <si>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</si>
  <si>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</si>
  <si>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</si>
  <si>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</si>
  <si>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</si>
  <si>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</si>
  <si>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</si>
  <si>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</si>
  <si>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</si>
  <si>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</si>
  <si>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</si>
  <si>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</si>
  <si>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</si>
  <si>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</si>
  <si>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</si>
  <si>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</si>
  <si>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</si>
  <si>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</si>
  <si>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</si>
  <si>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</si>
  <si>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</si>
  <si>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</si>
  <si>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</si>
  <si>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</si>
  <si>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</si>
  <si>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</si>
  <si>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</si>
  <si>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</si>
  <si>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</si>
  <si>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</si>
  <si>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</si>
  <si>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</si>
  <si>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</si>
  <si>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</si>
  <si>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</si>
  <si>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</si>
  <si>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</si>
  <si>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</si>
  <si>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</si>
  <si>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</si>
  <si>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</si>
  <si>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</si>
  <si>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</si>
  <si>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</si>
  <si>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</si>
  <si>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</si>
  <si>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</si>
  <si>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</si>
  <si>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</si>
  <si>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</si>
  <si>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</si>
  <si>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</si>
  <si>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</si>
  <si>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</si>
  <si>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</si>
  <si>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</si>
  <si>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</si>
  <si>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</si>
  <si>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</si>
  <si>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</si>
  <si>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</si>
  <si>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</si>
  <si>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</si>
  <si>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</si>
  <si>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</si>
  <si>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</si>
  <si>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</si>
  <si>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</si>
  <si>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</si>
  <si>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</si>
  <si>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</si>
  <si>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</si>
  <si>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</si>
  <si>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</si>
  <si>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</si>
  <si>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</si>
  <si>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</si>
  <si>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</si>
  <si>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</si>
  <si>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</si>
  <si>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</si>
  <si>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</si>
  <si>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</si>
  <si>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</si>
  <si>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</si>
  <si>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</si>
  <si>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</si>
  <si>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</si>
  <si>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</si>
  <si>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</si>
  <si>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</si>
  <si>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</si>
  <si>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</si>
  <si>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</si>
  <si>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</si>
  <si>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</si>
  <si>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</si>
  <si>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</si>
  <si>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</si>
  <si>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</si>
  <si>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</si>
  <si>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</si>
  <si>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</si>
  <si>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</si>
  <si>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</si>
  <si>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</si>
  <si>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</si>
  <si>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</si>
  <si>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</si>
  <si>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</si>
  <si>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</si>
  <si>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</si>
  <si>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</si>
  <si>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</si>
  <si>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</si>
  <si>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</si>
  <si>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</si>
  <si>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</si>
  <si>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</si>
  <si>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</si>
  <si>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</si>
  <si>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</si>
  <si>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</si>
  <si>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</si>
  <si>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</si>
  <si>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</si>
  <si>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</si>
  <si>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</si>
  <si>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</si>
  <si>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</si>
  <si>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</si>
  <si>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</si>
  <si>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</si>
  <si>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</si>
  <si>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</si>
  <si>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</si>
  <si>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</si>
  <si>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</si>
  <si>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</si>
  <si>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</si>
  <si>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</si>
  <si>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</si>
  <si>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</si>
  <si>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</si>
  <si>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</si>
  <si>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</si>
  <si>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</si>
  <si>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</si>
  <si>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</si>
  <si>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</si>
  <si>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</si>
  <si>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</si>
  <si>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</si>
  <si>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</si>
  <si>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</si>
  <si>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</si>
  <si>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</si>
  <si>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</si>
  <si>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</si>
  <si>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</si>
  <si>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</si>
  <si>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</si>
  <si>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</si>
  <si>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</si>
  <si>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</si>
  <si>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</si>
  <si>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</si>
  <si>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</si>
  <si>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</si>
  <si>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</si>
  <si>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</si>
  <si>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</si>
  <si>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</si>
  <si>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</si>
  <si>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</si>
  <si>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</si>
  <si>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</si>
  <si>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</si>
  <si>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</si>
  <si>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</si>
  <si>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</si>
  <si>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</si>
  <si>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</si>
  <si>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</si>
  <si>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</si>
  <si>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</si>
  <si>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</si>
  <si>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</si>
  <si>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</si>
  <si>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</si>
  <si>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</si>
  <si>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</si>
  <si>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</si>
  <si>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</si>
  <si>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</si>
  <si>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</si>
  <si>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</si>
  <si>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</si>
  <si>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</si>
  <si>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</si>
  <si>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</si>
  <si>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</si>
  <si>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</si>
  <si>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</si>
  <si>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</si>
  <si>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</si>
  <si>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</si>
  <si>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</si>
  <si>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</si>
  <si>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</si>
  <si>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</si>
  <si>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</si>
  <si>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</si>
  <si>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</si>
  <si>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</si>
  <si>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</si>
  <si>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</si>
  <si>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</si>
  <si>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</si>
  <si>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</si>
  <si>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</si>
  <si>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</si>
  <si>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</si>
  <si>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</si>
  <si>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</si>
  <si>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</si>
  <si>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</si>
  <si>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</si>
  <si>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</si>
  <si>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</si>
  <si>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</si>
  <si>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</si>
  <si>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</si>
  <si>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</si>
  <si>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</si>
  <si>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</si>
  <si>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</si>
  <si>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</si>
  <si>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</si>
  <si>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</si>
  <si>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</si>
  <si>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</si>
  <si>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</si>
  <si>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</si>
  <si>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</si>
  <si>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</si>
  <si>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</si>
  <si>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</si>
  <si>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</si>
  <si>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</si>
  <si>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</si>
  <si>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</si>
  <si>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</si>
  <si>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</si>
  <si>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</si>
  <si>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</si>
  <si>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</si>
  <si>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</si>
  <si>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</si>
  <si>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</si>
  <si>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</si>
  <si>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</si>
  <si>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</si>
  <si>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</si>
  <si>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</si>
  <si>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</si>
  <si>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</si>
  <si>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</si>
  <si>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</si>
  <si>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</si>
  <si>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</si>
  <si>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</si>
  <si>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</si>
  <si>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</si>
  <si>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</si>
  <si>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</si>
  <si>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</si>
  <si>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</si>
  <si>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</si>
  <si>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</si>
  <si>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</si>
  <si>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</si>
  <si>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</si>
  <si>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</si>
  <si>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</si>
  <si>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</si>
  <si>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</si>
  <si>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</si>
  <si>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</si>
  <si>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</si>
  <si>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</si>
  <si>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</si>
  <si>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</si>
  <si>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</si>
  <si>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</si>
  <si>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</si>
  <si>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</si>
  <si>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</si>
  <si>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</si>
  <si>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</si>
  <si>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</si>
  <si>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</si>
  <si>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</si>
  <si>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</si>
  <si>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</si>
  <si>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</si>
  <si>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</si>
  <si>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</si>
  <si>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</si>
  <si>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</si>
  <si>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</si>
  <si>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</si>
  <si>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</si>
  <si>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</si>
  <si>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</si>
  <si>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</si>
  <si>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</si>
  <si>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</si>
  <si>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</si>
  <si>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</si>
  <si>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</si>
  <si>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</si>
  <si>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</si>
  <si>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</si>
  <si>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</si>
  <si>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</si>
  <si>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</si>
  <si>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</si>
  <si>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</si>
  <si>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</si>
  <si>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</si>
  <si>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</si>
  <si>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</si>
  <si>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</si>
  <si>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</si>
  <si>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</si>
  <si>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</si>
  <si>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</si>
  <si>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</si>
  <si>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</si>
  <si>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</si>
  <si>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</si>
  <si>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</si>
  <si>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</si>
  <si>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</si>
  <si>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</si>
  <si>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</si>
  <si>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</si>
  <si>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</si>
  <si>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</si>
  <si>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</si>
  <si>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</si>
  <si>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</si>
  <si>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</si>
  <si>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</si>
  <si>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</si>
  <si>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</si>
  <si>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</si>
  <si>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</si>
  <si>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</si>
  <si>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</si>
  <si>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</si>
  <si>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</si>
  <si>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</si>
  <si>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</si>
  <si>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</si>
  <si>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</si>
  <si>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</si>
  <si>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</si>
  <si>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</si>
  <si>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</si>
  <si>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</si>
  <si>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</si>
  <si>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</si>
  <si>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</si>
  <si>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</si>
  <si>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</si>
  <si>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</si>
  <si>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</si>
  <si>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</si>
  <si>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</si>
  <si>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</si>
  <si>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</si>
  <si>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</si>
  <si>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</si>
  <si>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</si>
  <si>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</si>
  <si>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</si>
  <si>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</si>
  <si>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</si>
  <si>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</si>
  <si>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</si>
  <si>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</si>
  <si>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</si>
  <si>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</si>
  <si>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</si>
  <si>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</si>
  <si>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</si>
  <si>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</si>
  <si>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</si>
  <si>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</si>
  <si>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</si>
  <si>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</si>
  <si>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</si>
  <si>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</si>
  <si>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</si>
  <si>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</si>
  <si>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</si>
  <si>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</si>
  <si>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</si>
  <si>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</si>
  <si>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</si>
  <si>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</si>
  <si>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</si>
  <si>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</si>
  <si>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</si>
  <si>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</si>
  <si>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</si>
  <si>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</si>
  <si>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</si>
  <si>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</si>
  <si>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</si>
  <si>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</si>
  <si>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</si>
  <si>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</si>
  <si>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</si>
  <si>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</si>
  <si>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</si>
  <si>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</si>
  <si>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</si>
  <si>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</si>
  <si>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</si>
  <si>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</si>
  <si>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</si>
  <si>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</si>
  <si>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</si>
  <si>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</si>
  <si>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</si>
  <si>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</si>
  <si>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</si>
  <si>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</si>
  <si>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</si>
  <si>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</si>
  <si>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</si>
  <si>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</si>
  <si>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</si>
  <si>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</si>
  <si>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</si>
  <si>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</si>
  <si>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</si>
  <si>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</si>
  <si>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</si>
  <si>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</si>
  <si>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</si>
  <si>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</si>
  <si>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</si>
  <si>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</si>
  <si>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</si>
  <si>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</si>
  <si>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</si>
  <si>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</si>
  <si>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</si>
  <si>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</si>
  <si>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</si>
  <si>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</si>
  <si>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</si>
  <si>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</si>
  <si>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</si>
  <si>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</si>
  <si>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</si>
  <si>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</si>
  <si>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</si>
  <si>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</si>
  <si>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</si>
  <si>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</si>
  <si>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</si>
  <si>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</si>
  <si>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</si>
  <si>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</si>
  <si>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</si>
  <si>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</si>
  <si>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</si>
  <si>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</si>
  <si>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</si>
  <si>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</si>
  <si>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</si>
  <si>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</si>
  <si>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</si>
  <si>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</si>
  <si>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</si>
  <si>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</si>
  <si>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</si>
  <si>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</si>
  <si>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</si>
  <si>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</si>
  <si>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</si>
  <si>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</si>
  <si>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</si>
  <si>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</si>
  <si>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</si>
  <si>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</si>
  <si>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</si>
  <si>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</si>
  <si>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</si>
  <si>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</si>
  <si>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</si>
  <si>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</si>
  <si>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</si>
  <si>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</si>
  <si>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</si>
  <si>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</si>
  <si>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</si>
  <si>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</si>
  <si>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</si>
  <si>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</si>
  <si>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</si>
  <si>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</si>
  <si>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</si>
  <si>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</si>
  <si>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</si>
  <si>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</si>
  <si>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</si>
  <si>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</si>
  <si>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</si>
  <si>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</si>
  <si>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</si>
  <si>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</si>
  <si>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</si>
  <si>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</si>
  <si>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</si>
  <si>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</si>
  <si>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</si>
  <si>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</si>
  <si>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</si>
  <si>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</si>
  <si>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</si>
  <si>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</si>
  <si>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</si>
  <si>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</si>
  <si>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</si>
  <si>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</si>
  <si>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</si>
  <si>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</si>
  <si>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</si>
  <si>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</si>
  <si>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</si>
  <si>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</si>
  <si>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</si>
  <si>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</si>
  <si>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</si>
  <si>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</si>
  <si>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</si>
  <si>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</si>
  <si>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</si>
  <si>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</si>
  <si>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</si>
  <si>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</si>
  <si>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</si>
  <si>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</si>
  <si>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</si>
  <si>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</si>
  <si>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</si>
  <si>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</si>
  <si>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</si>
  <si>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</si>
  <si>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</si>
  <si>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</si>
  <si>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</si>
  <si>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</si>
  <si>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</si>
  <si>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</si>
  <si>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</si>
  <si>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</si>
  <si>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</si>
  <si>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</si>
  <si>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</si>
  <si>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</si>
  <si>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</si>
  <si>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</si>
  <si>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</si>
  <si>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</si>
  <si>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</si>
  <si>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</si>
  <si>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</si>
  <si>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</si>
  <si>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</si>
  <si>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</si>
  <si>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</si>
  <si>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</si>
  <si>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</si>
  <si>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</si>
  <si>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</si>
  <si>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</si>
  <si>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</si>
  <si>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</si>
  <si>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</si>
  <si>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</si>
  <si>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</si>
  <si>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</si>
  <si>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</si>
  <si>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</si>
  <si>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</si>
  <si>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</si>
  <si>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</si>
  <si>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</si>
  <si>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</si>
  <si>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</si>
  <si>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</si>
  <si>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</si>
  <si>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</si>
  <si>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</si>
  <si>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</si>
  <si>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</si>
  <si>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</si>
  <si>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</si>
  <si>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</si>
  <si>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</si>
  <si>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</si>
  <si>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</si>
  <si>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</si>
  <si>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</si>
  <si>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</si>
  <si>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</si>
  <si>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</si>
  <si>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</si>
  <si>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</si>
  <si>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</si>
  <si>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</si>
  <si>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</si>
  <si>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</si>
  <si>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</si>
  <si>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</si>
  <si>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</si>
  <si>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</si>
  <si>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</si>
  <si>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</si>
  <si>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</si>
  <si>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</si>
  <si>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</si>
  <si>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</si>
  <si>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</si>
  <si>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</si>
  <si>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</si>
  <si>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</si>
  <si>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</si>
  <si>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</si>
  <si>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</si>
  <si>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</si>
  <si>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</si>
  <si>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</si>
  <si>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</si>
  <si>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</si>
  <si>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</si>
  <si>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</si>
  <si>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</si>
  <si>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</si>
  <si>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</si>
  <si>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</si>
  <si>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</si>
  <si>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</si>
  <si>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</si>
  <si>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</si>
  <si>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</si>
  <si>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</si>
  <si>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</si>
  <si>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</si>
  <si>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</si>
  <si>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</si>
  <si>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</si>
  <si>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</si>
  <si>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</si>
  <si>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</si>
  <si>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</si>
  <si>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</si>
  <si>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</si>
  <si>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</si>
  <si>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</si>
  <si>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</si>
  <si>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</si>
  <si>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</si>
  <si>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</si>
  <si>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</si>
  <si>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</si>
  <si>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</si>
  <si>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</si>
  <si>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</si>
  <si>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</si>
  <si>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</si>
  <si>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</si>
  <si>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</si>
  <si>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</si>
  <si>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</si>
  <si>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</si>
  <si>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</si>
  <si>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</si>
  <si>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</si>
  <si>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</si>
  <si>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</si>
  <si>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</si>
  <si>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</si>
  <si>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</si>
  <si>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</si>
  <si>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</si>
  <si>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</si>
  <si>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</si>
  <si>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</si>
  <si>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</si>
  <si>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</si>
  <si>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</si>
  <si>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</si>
  <si>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</si>
  <si>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</si>
  <si>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</si>
  <si>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</si>
  <si>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</si>
  <si>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</si>
  <si>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</si>
  <si>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</si>
  <si>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</si>
  <si>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</si>
  <si>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</si>
  <si>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</si>
  <si>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</si>
  <si>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</si>
  <si>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</si>
  <si>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</si>
  <si>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</si>
  <si>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</si>
  <si>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</si>
  <si>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</si>
  <si>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</si>
  <si>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</si>
  <si>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</si>
  <si>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</si>
  <si>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</si>
  <si>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</si>
  <si>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</si>
  <si>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</si>
  <si>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</si>
  <si>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</si>
  <si>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</si>
  <si>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</si>
  <si>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</si>
  <si>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</si>
  <si>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</si>
  <si>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</si>
  <si>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</si>
  <si>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</si>
  <si>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</si>
  <si>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</si>
  <si>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</si>
  <si>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</si>
  <si>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</si>
  <si>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</si>
  <si>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</si>
  <si>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</si>
  <si>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</si>
  <si>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</si>
  <si>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</si>
  <si>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</si>
  <si>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</si>
  <si>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</si>
  <si>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</si>
  <si>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</si>
  <si>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</si>
  <si>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</si>
  <si>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</si>
  <si>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</si>
  <si>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</si>
  <si>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</si>
  <si>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</si>
  <si>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</si>
  <si>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</si>
  <si>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</si>
  <si>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</si>
  <si>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</si>
  <si>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</si>
  <si>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</si>
  <si>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</si>
  <si>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</si>
  <si>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</si>
  <si>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</si>
  <si>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</si>
  <si>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</si>
  <si>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</si>
  <si>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</si>
  <si>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</si>
  <si>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</si>
  <si>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</si>
  <si>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</si>
  <si>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</si>
  <si>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</si>
  <si>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</si>
  <si>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</si>
  <si>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</si>
  <si>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</si>
  <si>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</si>
  <si>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</si>
  <si>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</si>
  <si>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</si>
  <si>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</si>
  <si>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</si>
  <si>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</si>
  <si>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</si>
  <si>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</si>
  <si>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</si>
  <si>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</si>
  <si>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</si>
  <si>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</si>
  <si>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</si>
  <si>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</si>
  <si>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</si>
  <si>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</si>
  <si>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</si>
  <si>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</si>
  <si>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</si>
  <si>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</si>
  <si>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</si>
  <si>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</si>
  <si>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</si>
  <si>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</si>
  <si>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</si>
  <si>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</si>
  <si>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</si>
  <si>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</si>
  <si>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</si>
  <si>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</si>
  <si>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</si>
  <si>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</si>
  <si>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</si>
  <si>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</si>
  <si>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</si>
  <si>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</si>
  <si>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</si>
  <si>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</si>
  <si>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</si>
  <si>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</si>
  <si>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</si>
  <si>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</si>
  <si>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</si>
  <si>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</si>
  <si>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</si>
  <si>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</si>
  <si>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</si>
  <si>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</si>
  <si>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</si>
  <si>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</si>
  <si>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</si>
  <si>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</si>
  <si>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</si>
  <si>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</si>
  <si>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</si>
  <si>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</si>
  <si>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</si>
  <si>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</si>
  <si>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</si>
  <si>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</si>
  <si>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</si>
  <si>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</si>
  <si>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</si>
  <si>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</si>
  <si>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</si>
  <si>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</si>
  <si>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</si>
  <si>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</si>
  <si>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</si>
  <si>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</si>
  <si>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</si>
  <si>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</si>
  <si>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</si>
  <si>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</si>
  <si>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</si>
  <si>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</si>
  <si>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</si>
  <si>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</si>
  <si>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</si>
  <si>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</si>
  <si>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</si>
  <si>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</si>
  <si>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</si>
  <si>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</si>
  <si>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</si>
  <si>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</si>
  <si>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</si>
  <si>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</si>
  <si>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</si>
  <si>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</si>
  <si>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</si>
  <si>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</si>
  <si>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</si>
  <si>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</si>
  <si>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</si>
  <si>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</si>
  <si>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</si>
  <si>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</si>
  <si>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</si>
  <si>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</si>
  <si>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</si>
  <si>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</si>
  <si>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</si>
  <si>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</si>
  <si>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</si>
  <si>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</si>
  <si>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</si>
  <si>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</si>
  <si>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</si>
  <si>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</si>
  <si>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</si>
  <si>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</si>
  <si>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</si>
  <si>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</si>
  <si>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</si>
  <si>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</si>
  <si>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</si>
  <si>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</si>
  <si>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</si>
  <si>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</si>
  <si>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</si>
  <si>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</si>
  <si>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</si>
  <si>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</si>
  <si>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</si>
  <si>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</si>
  <si>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</si>
  <si>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</si>
  <si>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</si>
  <si>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</si>
  <si>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</si>
  <si>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</si>
  <si>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</si>
  <si>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</si>
  <si>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</si>
  <si>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</si>
  <si>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</si>
  <si>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</si>
  <si>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</si>
  <si>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</si>
  <si>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</si>
  <si>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</si>
  <si>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</si>
  <si>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</si>
  <si>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</si>
  <si>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</si>
  <si>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</si>
  <si>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</si>
  <si>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</si>
  <si>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</si>
  <si>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</si>
  <si>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</si>
  <si>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</si>
  <si>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</si>
  <si>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</si>
  <si>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</si>
  <si>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</si>
  <si>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</si>
  <si>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</si>
  <si>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</si>
  <si>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</si>
  <si>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</si>
  <si>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</si>
  <si>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</si>
  <si>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</si>
  <si>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</si>
  <si>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</si>
  <si>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</si>
  <si>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</si>
  <si>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</si>
  <si>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</si>
  <si>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</si>
  <si>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</si>
  <si>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</si>
  <si>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</si>
  <si>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</si>
  <si>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</si>
  <si>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</si>
  <si>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</si>
  <si>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</si>
  <si>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</si>
  <si>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</si>
  <si>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</si>
  <si>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</si>
  <si>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</si>
  <si>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</si>
  <si>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</si>
  <si>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</si>
  <si>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</si>
  <si>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</si>
  <si>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</si>
  <si>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</si>
  <si>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</si>
  <si>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</si>
  <si>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</si>
  <si>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</si>
  <si>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</si>
  <si>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</si>
  <si>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</si>
  <si>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</si>
  <si>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</si>
  <si>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</si>
  <si>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</si>
  <si>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</si>
  <si>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</si>
  <si>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</si>
  <si>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</si>
  <si>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</si>
  <si>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</si>
  <si>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</si>
  <si>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</si>
  <si>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</si>
  <si>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</si>
  <si>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</si>
  <si>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</si>
  <si>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</si>
  <si>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</si>
  <si>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</si>
  <si>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</si>
  <si>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</si>
  <si>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</si>
  <si>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</si>
  <si>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</si>
  <si>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</si>
  <si>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</si>
  <si>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</si>
  <si>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</si>
  <si>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</si>
  <si>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</si>
  <si>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</si>
  <si>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</si>
  <si>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</si>
  <si>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</si>
  <si>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</si>
  <si>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</si>
  <si>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</si>
  <si>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</si>
  <si>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</si>
  <si>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</si>
  <si>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</si>
  <si>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</si>
  <si>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</si>
  <si>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</si>
  <si>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</si>
  <si>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</si>
  <si>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</si>
  <si>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</si>
  <si>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</si>
  <si>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</si>
  <si>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</si>
  <si>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</si>
  <si>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</si>
  <si>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</si>
  <si>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</si>
  <si>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</si>
  <si>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</si>
  <si>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</si>
  <si>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</si>
  <si>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</si>
  <si>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</si>
  <si>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</si>
  <si>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</si>
  <si>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</si>
  <si>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</si>
  <si>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</si>
  <si>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</si>
  <si>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</si>
  <si>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</si>
  <si>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</si>
  <si>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</si>
  <si>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</si>
  <si>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</si>
  <si>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</si>
  <si>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</si>
  <si>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</si>
  <si>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</si>
  <si>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</si>
  <si>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</si>
  <si>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</si>
  <si>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</si>
  <si>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</si>
  <si>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</si>
  <si>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</si>
  <si>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</si>
  <si>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</si>
  <si>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</si>
  <si>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</si>
  <si>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</si>
  <si>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</si>
  <si>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</si>
  <si>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</si>
  <si>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</si>
  <si>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</si>
  <si>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</si>
  <si>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</si>
  <si>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</si>
  <si>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</si>
  <si>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</si>
  <si>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</si>
  <si>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</si>
  <si>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</si>
  <si>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</si>
  <si>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</si>
  <si>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</si>
  <si>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</si>
  <si>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</si>
  <si>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</si>
  <si>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</si>
  <si>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</si>
  <si>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</si>
  <si>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</si>
  <si>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</si>
  <si>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</si>
  <si>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</si>
  <si>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</si>
  <si>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</si>
  <si>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</si>
  <si>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</si>
  <si>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</si>
  <si>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</si>
  <si>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</si>
  <si>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</si>
  <si>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</si>
  <si>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</si>
  <si>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</si>
  <si>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</si>
  <si>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</si>
  <si>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</si>
  <si>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</si>
  <si>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</si>
  <si>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</si>
  <si>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</si>
  <si>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</si>
  <si>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</si>
  <si>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</si>
  <si>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</si>
  <si>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</si>
  <si>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</si>
  <si>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</si>
  <si>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</si>
  <si>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</si>
  <si>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</si>
  <si>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</si>
  <si>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</si>
  <si>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</si>
  <si>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</si>
  <si>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</si>
  <si>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</si>
  <si>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</si>
  <si>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</si>
  <si>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</si>
  <si>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</si>
  <si>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</si>
  <si>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</si>
  <si>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</si>
  <si>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</si>
  <si>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</si>
  <si>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</si>
  <si>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</si>
  <si>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</si>
  <si>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</si>
  <si>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</si>
  <si>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</si>
  <si>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</si>
  <si>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</si>
  <si>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</si>
  <si>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</si>
  <si>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</si>
  <si>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</si>
  <si>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</si>
  <si>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</si>
  <si>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</si>
  <si>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</si>
  <si>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</si>
  <si>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</si>
  <si>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</si>
  <si>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</si>
  <si>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</si>
  <si>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</si>
  <si>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</si>
  <si>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</si>
  <si>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</si>
  <si>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</si>
  <si>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</si>
  <si>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</si>
  <si>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</si>
  <si>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</si>
  <si>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</si>
  <si>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</si>
  <si>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</si>
  <si>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</si>
  <si>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</si>
  <si>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</si>
  <si>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</si>
  <si>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</si>
  <si>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</si>
  <si>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</si>
  <si>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</si>
  <si>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</si>
  <si>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</si>
  <si>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</si>
  <si>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</si>
  <si>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</si>
  <si>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</si>
  <si>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</si>
  <si>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</si>
  <si>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</si>
  <si>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</si>
  <si>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</si>
  <si>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</si>
  <si>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</si>
  <si>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</si>
  <si>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</si>
  <si>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</si>
  <si>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</si>
  <si>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</si>
  <si>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</si>
  <si>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</si>
  <si>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</si>
  <si>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</si>
  <si>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</si>
  <si>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</si>
  <si>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</si>
  <si>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</si>
  <si>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</si>
  <si>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</si>
  <si>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</si>
  <si>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</si>
  <si>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</si>
  <si>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</si>
  <si>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</si>
  <si>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</si>
  <si>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</si>
  <si>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</si>
  <si>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</si>
  <si>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</si>
  <si>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</si>
  <si>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</si>
  <si>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</si>
  <si>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</si>
  <si>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</si>
  <si>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</si>
  <si>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</si>
  <si>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</si>
  <si>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</si>
  <si>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</si>
  <si>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</si>
  <si>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</si>
  <si>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</si>
  <si>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</si>
  <si>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</si>
  <si>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</si>
  <si>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</si>
  <si>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</si>
  <si>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</si>
  <si>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</si>
  <si>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</si>
  <si>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</si>
  <si>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</si>
  <si>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</si>
  <si>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</si>
  <si>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</si>
  <si>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</si>
  <si>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</si>
  <si>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</si>
  <si>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</si>
  <si>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</si>
  <si>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</si>
  <si>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</si>
  <si>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</si>
  <si>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</si>
  <si>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</si>
  <si>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</si>
  <si>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</si>
  <si>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</si>
  <si>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</si>
  <si>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</si>
  <si>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</si>
  <si>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</si>
  <si>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</si>
  <si>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</si>
  <si>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</si>
  <si>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</si>
  <si>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</si>
  <si>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</si>
  <si>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</si>
  <si>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</si>
  <si>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</si>
  <si>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</si>
  <si>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</si>
  <si>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</si>
  <si>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</si>
  <si>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</si>
  <si>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</si>
  <si>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</si>
  <si>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</si>
  <si>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</si>
  <si>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</si>
  <si>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</si>
  <si>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</si>
  <si>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</si>
  <si>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</si>
  <si>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</si>
  <si>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</si>
  <si>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</si>
  <si>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</si>
  <si>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</si>
  <si>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</si>
  <si>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</si>
  <si>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</si>
  <si>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</si>
  <si>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</si>
  <si>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</si>
  <si>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</si>
  <si>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</si>
  <si>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</si>
  <si>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</si>
  <si>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</si>
  <si>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</si>
  <si>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</si>
  <si>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</si>
  <si>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</si>
  <si>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</si>
  <si>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</si>
  <si>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</si>
  <si>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</si>
  <si>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</si>
  <si>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</si>
  <si>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</si>
  <si>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</si>
  <si>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</si>
  <si>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</si>
  <si>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</si>
  <si>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</si>
  <si>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</si>
  <si>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</si>
  <si>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</si>
  <si>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</si>
  <si>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</si>
  <si>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</si>
  <si>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</si>
  <si>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</si>
  <si>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</si>
  <si>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</si>
  <si>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</si>
  <si>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</si>
  <si>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</si>
  <si>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</si>
  <si>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</si>
  <si>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</si>
  <si>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</si>
  <si>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</si>
  <si>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</si>
  <si>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</si>
  <si>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</si>
  <si>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</si>
  <si>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</si>
  <si>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</si>
  <si>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</si>
  <si>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</si>
  <si>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</si>
  <si>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</si>
  <si>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</si>
  <si>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</si>
  <si>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</si>
  <si>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</si>
  <si>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</si>
  <si>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</si>
  <si>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</si>
  <si>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</si>
  <si>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</si>
  <si>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</si>
  <si>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</si>
  <si>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</si>
  <si>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</si>
  <si>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</si>
  <si>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</si>
  <si>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</si>
  <si>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</si>
  <si>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</si>
  <si>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</si>
  <si>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</si>
  <si>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</si>
  <si>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</si>
  <si>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</si>
  <si>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</si>
  <si>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</si>
  <si>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</si>
  <si>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</si>
  <si>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</si>
  <si>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</si>
  <si>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</si>
  <si>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</si>
  <si>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</si>
  <si>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</si>
  <si>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</si>
  <si>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</si>
  <si>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</si>
  <si>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</si>
  <si>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</si>
  <si>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</si>
  <si>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</si>
  <si>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</si>
  <si>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</si>
  <si>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</si>
  <si>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</si>
  <si>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</si>
  <si>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</si>
  <si>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</si>
  <si>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</si>
  <si>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</si>
  <si>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</si>
  <si>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</si>
  <si>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</si>
  <si>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</si>
  <si>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</si>
  <si>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</si>
  <si>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</si>
  <si>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</si>
  <si>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</si>
  <si>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</si>
  <si>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</si>
  <si>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</si>
  <si>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</si>
  <si>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</si>
  <si>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</si>
  <si>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</si>
  <si>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</si>
  <si>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</si>
  <si>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</si>
  <si>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</si>
  <si>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</si>
  <si>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</si>
  <si>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</si>
  <si>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</si>
  <si>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</si>
  <si>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</si>
  <si>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</si>
  <si>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</si>
  <si>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</si>
  <si>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</si>
  <si>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</si>
  <si>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</si>
  <si>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</si>
  <si>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</si>
  <si>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</si>
  <si>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</si>
  <si>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</si>
  <si>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</si>
  <si>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</si>
  <si>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</si>
  <si>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</si>
  <si>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</si>
  <si>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</si>
  <si>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</si>
  <si>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</si>
  <si>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</si>
  <si>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</si>
  <si>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</si>
  <si>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</si>
  <si>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</si>
  <si>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</si>
  <si>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</si>
  <si>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</si>
  <si>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</si>
  <si>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</si>
  <si>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</si>
  <si>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</si>
  <si>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</si>
  <si>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</si>
  <si>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</si>
  <si>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</si>
  <si>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</si>
  <si>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</si>
  <si>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</si>
  <si>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</si>
  <si>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</si>
  <si>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</si>
  <si>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</si>
  <si>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</si>
  <si>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</si>
  <si>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</si>
  <si>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</si>
  <si>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</si>
  <si>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</si>
  <si>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</si>
  <si>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</si>
  <si>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</si>
  <si>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</si>
  <si>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</si>
  <si>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</si>
  <si>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</si>
  <si>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</si>
  <si>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</si>
  <si>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</si>
  <si>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</si>
  <si>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</si>
  <si>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</si>
  <si>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</si>
  <si>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</si>
  <si>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</si>
  <si>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</si>
  <si>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</si>
  <si>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</si>
  <si>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</si>
  <si>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</si>
  <si>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</si>
  <si>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</si>
  <si>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</si>
  <si>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</si>
  <si>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</si>
  <si>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</si>
  <si>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</si>
  <si>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</si>
  <si>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</si>
  <si>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</si>
  <si>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</si>
  <si>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</si>
  <si>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</si>
  <si>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</si>
  <si>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</si>
  <si>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</si>
  <si>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</si>
  <si>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</si>
  <si>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</si>
  <si>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</si>
  <si>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</si>
  <si>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</si>
  <si>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</si>
  <si>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</si>
  <si>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</si>
  <si>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</si>
  <si>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</si>
  <si>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</si>
  <si>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</si>
  <si>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</si>
  <si>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</si>
  <si>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</si>
  <si>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</si>
  <si>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</si>
  <si>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</si>
  <si>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</si>
  <si>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</si>
  <si>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</si>
  <si>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</si>
  <si>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</si>
  <si>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</si>
  <si>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</si>
  <si>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</si>
  <si>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</si>
  <si>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</si>
  <si>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</si>
  <si>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</si>
  <si>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</si>
  <si>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</si>
  <si>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</si>
  <si>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</si>
  <si>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</si>
  <si>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</si>
  <si>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</si>
  <si>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</si>
  <si>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</si>
  <si>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</si>
  <si>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</si>
  <si>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</si>
  <si>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</si>
  <si>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</si>
  <si>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</si>
  <si>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</si>
  <si>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</si>
  <si>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</si>
  <si>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</si>
  <si>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</si>
  <si>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</si>
  <si>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</si>
  <si>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</si>
  <si>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</si>
  <si>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</si>
  <si>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</si>
  <si>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</si>
  <si>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</si>
  <si>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</si>
  <si>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</si>
  <si>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</si>
  <si>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</si>
  <si>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</si>
  <si>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</si>
  <si>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</si>
  <si>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</si>
  <si>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</si>
  <si>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</si>
  <si>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</si>
  <si>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</si>
  <si>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</si>
  <si>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</si>
  <si>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</si>
  <si>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</si>
  <si>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</si>
  <si>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</si>
  <si>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</si>
  <si>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</si>
  <si>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</si>
  <si>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</si>
  <si>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</si>
  <si>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</si>
  <si>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</si>
  <si>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</si>
  <si>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</si>
  <si>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</si>
  <si>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</si>
  <si>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</si>
  <si>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</si>
  <si>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</si>
  <si>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</si>
  <si>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</si>
  <si>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</si>
  <si>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</si>
  <si>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</si>
  <si>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</si>
  <si>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</si>
  <si>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</si>
  <si>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</si>
  <si>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</si>
  <si>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</si>
  <si>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</si>
  <si>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</si>
  <si>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</si>
  <si>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</si>
  <si>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</si>
  <si>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</si>
  <si>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</si>
  <si>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</si>
  <si>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</si>
  <si>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</si>
  <si>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</si>
  <si>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</si>
  <si>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</si>
  <si>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</si>
  <si>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</si>
  <si>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</si>
  <si>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</si>
  <si>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</si>
  <si>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</si>
  <si>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</si>
  <si>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</si>
  <si>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</si>
  <si>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</si>
  <si>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</si>
  <si>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</si>
  <si>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</si>
  <si>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</si>
  <si>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</si>
  <si>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</si>
  <si>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</si>
  <si>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</si>
  <si>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</si>
  <si>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</si>
  <si>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</si>
  <si>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</si>
  <si>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</si>
  <si>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</si>
  <si>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</si>
  <si>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</si>
  <si>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</si>
  <si>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</si>
  <si>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</si>
  <si>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</si>
  <si>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</si>
  <si>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</si>
  <si>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</si>
  <si>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</si>
  <si>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</si>
  <si>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</si>
  <si>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</si>
  <si>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</si>
  <si>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</si>
  <si>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</si>
  <si>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</si>
  <si>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</si>
  <si>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</si>
  <si>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</si>
  <si>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</si>
  <si>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</si>
  <si>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</si>
  <si>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</si>
  <si>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</si>
  <si>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</si>
  <si>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</si>
  <si>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</si>
  <si>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</si>
  <si>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</si>
  <si>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</si>
  <si>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</si>
  <si>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</si>
  <si>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</si>
  <si>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</si>
  <si>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</si>
  <si>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</si>
  <si>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</si>
  <si>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</si>
  <si>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</si>
  <si>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</si>
  <si>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</si>
  <si>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</si>
  <si>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</si>
  <si>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</si>
  <si>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</si>
  <si>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</si>
  <si>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</si>
  <si>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</si>
  <si>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</si>
  <si>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</si>
  <si>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</si>
  <si>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</si>
  <si>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</si>
  <si>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</si>
  <si>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</si>
  <si>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</si>
  <si>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</si>
  <si>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</si>
  <si>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</si>
  <si>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</si>
  <si>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</si>
  <si>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</si>
  <si>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</si>
  <si>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</si>
  <si>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</si>
  <si>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</si>
  <si>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</si>
  <si>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</si>
  <si>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</si>
  <si>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</si>
  <si>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</si>
  <si>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</si>
  <si>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</si>
  <si>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</si>
  <si>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</si>
  <si>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</si>
  <si>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</si>
  <si>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</si>
  <si>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</si>
  <si>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</si>
  <si>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</si>
  <si>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</si>
  <si>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</si>
  <si>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</si>
  <si>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</si>
  <si>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</si>
  <si>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</si>
  <si>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</si>
  <si>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</si>
  <si>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</si>
  <si>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</si>
  <si>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</si>
  <si>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</si>
  <si>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</si>
  <si>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</si>
  <si>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</si>
  <si>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</si>
  <si>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</si>
  <si>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</si>
  <si>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</si>
  <si>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</si>
  <si>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</si>
  <si>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</si>
  <si>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</si>
  <si>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</si>
  <si>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</si>
  <si>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</si>
  <si>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</si>
  <si>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</si>
  <si>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</si>
  <si>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</si>
  <si>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</si>
  <si>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</si>
  <si>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</si>
  <si>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</si>
  <si>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</si>
  <si>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</si>
  <si>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</si>
  <si>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</si>
  <si>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</si>
  <si>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</si>
  <si>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</si>
  <si>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</si>
  <si>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</si>
  <si>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</si>
  <si>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</si>
  <si>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</si>
  <si>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</si>
  <si>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</si>
  <si>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</si>
  <si>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</si>
  <si>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</si>
  <si>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</si>
  <si>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</si>
  <si>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</si>
  <si>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</si>
  <si>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</si>
  <si>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</si>
  <si>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</si>
  <si>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</si>
  <si>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</si>
  <si>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</si>
  <si>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</si>
  <si>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</si>
  <si>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</si>
  <si>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</si>
  <si>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</si>
  <si>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</si>
  <si>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</si>
  <si>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</si>
  <si>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</si>
  <si>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</si>
  <si>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</si>
  <si>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</si>
  <si>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</si>
  <si>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</si>
  <si>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</si>
  <si>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</si>
  <si>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</si>
  <si>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</si>
  <si>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</si>
  <si>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</si>
  <si>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</si>
  <si>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</si>
  <si>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</si>
  <si>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</si>
  <si>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</si>
  <si>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</si>
  <si>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</si>
  <si>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</si>
  <si>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</si>
  <si>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</si>
  <si>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</si>
  <si>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</si>
  <si>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</si>
  <si>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</si>
  <si>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</si>
  <si>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</si>
  <si>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</si>
  <si>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</si>
  <si>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</si>
  <si>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</si>
  <si>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</si>
  <si>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</si>
  <si>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</si>
  <si>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</si>
  <si>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</si>
  <si>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</si>
  <si>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</si>
  <si>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</si>
  <si>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</si>
  <si>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</si>
  <si>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</si>
  <si>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</si>
  <si>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</si>
  <si>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</si>
  <si>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</si>
  <si>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</si>
  <si>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</si>
  <si>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</si>
  <si>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</si>
  <si>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</si>
  <si>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</si>
  <si>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</si>
  <si>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</si>
  <si>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</si>
  <si>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</si>
  <si>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</si>
  <si>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</si>
  <si>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</si>
  <si>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</si>
  <si>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</si>
  <si>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</si>
  <si>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</si>
  <si>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</si>
  <si>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</si>
  <si>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</si>
  <si>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</si>
  <si>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</si>
  <si>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</si>
  <si>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</si>
  <si>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</si>
  <si>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</si>
  <si>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</si>
  <si>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</si>
  <si>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</si>
  <si>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</si>
  <si>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</si>
  <si>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</si>
  <si>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</si>
  <si>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</si>
  <si>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</si>
  <si>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</si>
  <si>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</si>
  <si>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</si>
  <si>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</si>
  <si>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</si>
  <si>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</si>
  <si>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</si>
  <si>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</si>
  <si>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</si>
  <si>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</si>
  <si>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</si>
  <si>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</si>
  <si>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</si>
  <si>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</si>
  <si>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</si>
  <si>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</si>
  <si>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</si>
  <si>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</si>
  <si>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</si>
  <si>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</si>
  <si>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</si>
  <si>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</si>
  <si>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</si>
  <si>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</si>
  <si>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</si>
  <si>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</si>
  <si>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</si>
  <si>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</si>
  <si>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</si>
  <si>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</si>
  <si>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</si>
  <si>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</si>
  <si>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</si>
  <si>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</si>
  <si>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</si>
  <si>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</si>
  <si>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</si>
  <si>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</si>
  <si>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</si>
  <si>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</si>
  <si>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20963249418</t>
  </si>
  <si>
    <t>07602786563</t>
  </si>
  <si>
    <t>03112322</t>
  </si>
  <si>
    <t>060007362</t>
  </si>
  <si>
    <t>MARASKA D.D.</t>
  </si>
  <si>
    <t>ZADAR</t>
  </si>
  <si>
    <t>BIOGRADSKA CESTA 64A</t>
  </si>
  <si>
    <t>maraska@maraska.hr</t>
  </si>
  <si>
    <t>023/208-800</t>
  </si>
  <si>
    <t>www.maraska.hr</t>
  </si>
  <si>
    <t>4272016790006</t>
  </si>
  <si>
    <t>STIPE BEVANDA</t>
  </si>
  <si>
    <t>stipe.bevanda@maraska.hr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</si>
</sst>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6127363.82</v>
      </c>
      <c r="I3" s="31">
        <f>ABS(ROUND(J3,0)-J3)+ABS(ROUND(K3,0)-K3)</f>
        <v>0</v>
      </c>
      <c r="J3" s="31">
        <f>Bilanca!I10</f>
        <v>104087653</v>
      </c>
      <c r="K3" s="31">
        <f>Bilanca!J10</f>
        <v>101140269</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03112322</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060007362</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07602786563</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MARASKA D.D.</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23000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ZADAR</v>
      </c>
      <c r="D11" s="4" t="s">
        <v>1521</v>
      </c>
      <c r="E11" s="4">
        <v>1</v>
      </c>
      <c r="F11" s="4">
        <f>Bilanca!G18</f>
        <v>10</v>
      </c>
      <c r="G11" s="4">
        <f>IF(Bilanca!H18=0,"",Bilanca!H18)</f>
      </c>
      <c r="H11" s="30">
        <f t="shared" si="0"/>
        <v>29951989.8</v>
      </c>
      <c r="I11" s="31">
        <f t="shared" si="1"/>
        <v>0</v>
      </c>
      <c r="J11" s="31">
        <f>Bilanca!I18</f>
        <v>103405706</v>
      </c>
      <c r="K11" s="31">
        <f>Bilanca!J18</f>
        <v>98057096</v>
      </c>
    </row>
    <row r="12" spans="1:11" ht="12.75">
      <c r="A12" s="4" t="s">
        <v>2357</v>
      </c>
      <c r="B12" s="29" t="str">
        <f>TRIM(RefStr!C33)</f>
        <v>BIOGRADSKA CESTA 64A</v>
      </c>
      <c r="D12" s="4" t="s">
        <v>1521</v>
      </c>
      <c r="E12" s="4">
        <v>1</v>
      </c>
      <c r="F12" s="4">
        <f>Bilanca!G19</f>
        <v>11</v>
      </c>
      <c r="G12" s="4">
        <f>IF(Bilanca!H19=0,"",Bilanca!H19)</f>
      </c>
      <c r="H12" s="30">
        <f t="shared" si="0"/>
        <v>9793221.57</v>
      </c>
      <c r="I12" s="31">
        <f t="shared" si="1"/>
        <v>0</v>
      </c>
      <c r="J12" s="31">
        <f>Bilanca!I19</f>
        <v>30056155</v>
      </c>
      <c r="K12" s="31">
        <f>Bilanca!J19</f>
        <v>29486566</v>
      </c>
    </row>
    <row r="13" spans="1:11" ht="12.75">
      <c r="A13" s="4" t="s">
        <v>1193</v>
      </c>
      <c r="B13" s="29" t="str">
        <f>TRIM(RefStr!C35)</f>
        <v>maraska@maraska.hr</v>
      </c>
      <c r="D13" s="4" t="s">
        <v>1521</v>
      </c>
      <c r="E13" s="4">
        <v>1</v>
      </c>
      <c r="F13" s="4">
        <f>Bilanca!G20</f>
        <v>12</v>
      </c>
      <c r="G13" s="4">
        <f>IF(Bilanca!H20=0,"",Bilanca!H20)</f>
      </c>
      <c r="H13" s="30">
        <f t="shared" si="0"/>
        <v>8649137.280000001</v>
      </c>
      <c r="I13" s="31">
        <f t="shared" si="1"/>
        <v>0</v>
      </c>
      <c r="J13" s="31">
        <f>Bilanca!I20</f>
        <v>25943474</v>
      </c>
      <c r="K13" s="31">
        <f>Bilanca!J20</f>
        <v>23066335</v>
      </c>
    </row>
    <row r="14" spans="1:11" ht="12.75">
      <c r="A14" s="4" t="s">
        <v>1194</v>
      </c>
      <c r="B14" s="29" t="str">
        <f>TRIM(RefStr!C37)</f>
        <v>www.maraska.hr</v>
      </c>
      <c r="D14" s="4" t="s">
        <v>1521</v>
      </c>
      <c r="E14" s="4">
        <v>1</v>
      </c>
      <c r="F14" s="4">
        <f>Bilanca!G21</f>
        <v>13</v>
      </c>
      <c r="G14" s="4">
        <f>IF(Bilanca!H21=0,"",Bilanca!H21)</f>
      </c>
      <c r="H14" s="30">
        <f t="shared" si="0"/>
        <v>3836783.34</v>
      </c>
      <c r="I14" s="31">
        <f t="shared" si="1"/>
        <v>0</v>
      </c>
      <c r="J14" s="31">
        <f>Bilanca!I21</f>
        <v>8778116</v>
      </c>
      <c r="K14" s="31">
        <f>Bilanca!J21</f>
        <v>10367801</v>
      </c>
    </row>
    <row r="15" spans="1:11" ht="12.75">
      <c r="A15" s="4" t="s">
        <v>2360</v>
      </c>
      <c r="B15" s="29" t="str">
        <f>TEXT(RefStr!J39,"00")</f>
        <v>13</v>
      </c>
      <c r="D15" s="4" t="s">
        <v>1521</v>
      </c>
      <c r="E15" s="4">
        <v>1</v>
      </c>
      <c r="F15" s="4">
        <f>Bilanca!G22</f>
        <v>14</v>
      </c>
      <c r="G15" s="4">
        <f>IF(Bilanca!H22=0,"",Bilanca!H22)</f>
      </c>
      <c r="H15" s="30">
        <f t="shared" si="0"/>
        <v>1753621.38</v>
      </c>
      <c r="I15" s="31">
        <f t="shared" si="1"/>
        <v>0</v>
      </c>
      <c r="J15" s="31">
        <f>Bilanca!I22</f>
        <v>4896753</v>
      </c>
      <c r="K15" s="31">
        <f>Bilanca!J22</f>
        <v>3814557</v>
      </c>
    </row>
    <row r="16" spans="1:11" ht="12.75">
      <c r="A16" s="4" t="s">
        <v>2359</v>
      </c>
      <c r="B16" s="29" t="str">
        <f>TEXT(RefStr!C39,"000")</f>
        <v>520</v>
      </c>
      <c r="D16" s="4" t="s">
        <v>1521</v>
      </c>
      <c r="E16" s="4">
        <v>1</v>
      </c>
      <c r="F16" s="4">
        <f>Bilanca!G23</f>
        <v>15</v>
      </c>
      <c r="G16" s="4">
        <f>IF(Bilanca!H23=0,"",Bilanca!H23)</f>
      </c>
      <c r="H16" s="30">
        <f t="shared" si="0"/>
        <v>14456232.3</v>
      </c>
      <c r="I16" s="31">
        <f t="shared" si="1"/>
        <v>0</v>
      </c>
      <c r="J16" s="31">
        <f>Bilanca!I23</f>
        <v>33731208</v>
      </c>
      <c r="K16" s="31">
        <f>Bilanca!J23</f>
        <v>31321837</v>
      </c>
    </row>
    <row r="17" spans="1:11" ht="12.75">
      <c r="A17" s="4" t="s">
        <v>2358</v>
      </c>
      <c r="B17" s="29" t="str">
        <f>RefStr!C42</f>
        <v>1101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13200</v>
      </c>
      <c r="I21" s="31">
        <f t="shared" si="1"/>
        <v>0</v>
      </c>
      <c r="J21" s="31">
        <f>Bilanca!I28</f>
        <v>22000</v>
      </c>
      <c r="K21" s="31">
        <f>Bilanca!J28</f>
        <v>22000</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100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171</v>
      </c>
      <c r="D25" s="4" t="s">
        <v>1521</v>
      </c>
      <c r="E25" s="4">
        <v>1</v>
      </c>
      <c r="F25" s="4">
        <f>Bilanca!G32</f>
        <v>24</v>
      </c>
      <c r="G25" s="4">
        <f>IF(Bilanca!H32=0,"",Bilanca!H32)</f>
      </c>
      <c r="H25" s="30">
        <f t="shared" si="0"/>
        <v>15840</v>
      </c>
      <c r="I25" s="31">
        <f t="shared" si="1"/>
        <v>0</v>
      </c>
      <c r="J25" s="31">
        <f>Bilanca!I32</f>
        <v>22000</v>
      </c>
      <c r="K25" s="31">
        <f>Bilanca!J32</f>
        <v>22000</v>
      </c>
    </row>
    <row r="26" spans="1:11" ht="12.75">
      <c r="A26" s="4" t="s">
        <v>1203</v>
      </c>
      <c r="B26" s="29">
        <f>RefStr!F56</f>
        <v>151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151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2441625.48</v>
      </c>
      <c r="I37" s="31">
        <f t="shared" si="1"/>
        <v>0</v>
      </c>
      <c r="J37" s="31">
        <f>Bilanca!I44</f>
        <v>659947</v>
      </c>
      <c r="K37" s="31">
        <f>Bilanca!J44</f>
        <v>3061173</v>
      </c>
    </row>
    <row r="38" spans="1:11" ht="12.75">
      <c r="A38" s="4" t="s">
        <v>1215</v>
      </c>
      <c r="B38" s="29">
        <f>RefStr!B66</f>
        <v>0</v>
      </c>
      <c r="D38" s="4" t="s">
        <v>1521</v>
      </c>
      <c r="E38" s="4">
        <v>1</v>
      </c>
      <c r="F38" s="4">
        <f>Bilanca!G45</f>
        <v>37</v>
      </c>
      <c r="G38" s="4">
        <f>IF(Bilanca!H45=0,"",Bilanca!H45)</f>
      </c>
      <c r="H38" s="30">
        <f t="shared" si="0"/>
        <v>70266924.96000001</v>
      </c>
      <c r="I38" s="31">
        <f t="shared" si="1"/>
        <v>0</v>
      </c>
      <c r="J38" s="31">
        <f>Bilanca!I45</f>
        <v>75754350</v>
      </c>
      <c r="K38" s="31">
        <f>Bilanca!J45</f>
        <v>57078129</v>
      </c>
    </row>
    <row r="39" spans="1:11" ht="12.75">
      <c r="A39" s="4" t="s">
        <v>1216</v>
      </c>
      <c r="B39" s="29" t="str">
        <f>RefStr!C68</f>
        <v>STIPE BEVANDA</v>
      </c>
      <c r="D39" s="4" t="s">
        <v>1521</v>
      </c>
      <c r="E39" s="4">
        <v>1</v>
      </c>
      <c r="F39" s="4">
        <f>Bilanca!G46</f>
        <v>38</v>
      </c>
      <c r="G39" s="4">
        <f>IF(Bilanca!H46=0,"",Bilanca!H46)</f>
      </c>
      <c r="H39" s="30">
        <f t="shared" si="0"/>
        <v>38753122.38</v>
      </c>
      <c r="I39" s="31">
        <f t="shared" si="1"/>
        <v>0</v>
      </c>
      <c r="J39" s="31">
        <f>Bilanca!I46</f>
        <v>38469585</v>
      </c>
      <c r="K39" s="31">
        <f>Bilanca!J46</f>
        <v>31756158</v>
      </c>
    </row>
    <row r="40" spans="1:11" ht="12.75">
      <c r="A40" s="4" t="s">
        <v>1217</v>
      </c>
      <c r="B40" s="29" t="str">
        <f>TRIM(RefStr!C70)</f>
        <v>023/208-800</v>
      </c>
      <c r="D40" s="4" t="s">
        <v>1521</v>
      </c>
      <c r="E40" s="4">
        <v>1</v>
      </c>
      <c r="F40" s="4">
        <f>Bilanca!G47</f>
        <v>39</v>
      </c>
      <c r="G40" s="4">
        <f>IF(Bilanca!H47=0,"",Bilanca!H47)</f>
      </c>
      <c r="H40" s="30">
        <f t="shared" si="0"/>
        <v>12774654.75</v>
      </c>
      <c r="I40" s="31">
        <f t="shared" si="1"/>
        <v>0</v>
      </c>
      <c r="J40" s="31">
        <f>Bilanca!I47</f>
        <v>12432409</v>
      </c>
      <c r="K40" s="31">
        <f>Bilanca!J47</f>
        <v>10161558</v>
      </c>
    </row>
    <row r="41" spans="1:11" ht="12.75">
      <c r="A41" s="4" t="s">
        <v>1218</v>
      </c>
      <c r="B41" s="29" t="s">
        <v>239</v>
      </c>
      <c r="D41" s="4" t="s">
        <v>1521</v>
      </c>
      <c r="E41" s="4">
        <v>1</v>
      </c>
      <c r="F41" s="4">
        <f>Bilanca!G48</f>
        <v>40</v>
      </c>
      <c r="G41" s="4">
        <f>IF(Bilanca!H48=0,"",Bilanca!H48)</f>
      </c>
      <c r="H41" s="30">
        <f t="shared" si="0"/>
        <v>1416898</v>
      </c>
      <c r="I41" s="31">
        <f t="shared" si="1"/>
        <v>0</v>
      </c>
      <c r="J41" s="31">
        <f>Bilanca!I48</f>
        <v>1981533</v>
      </c>
      <c r="K41" s="31">
        <f>Bilanca!J48</f>
        <v>780356</v>
      </c>
    </row>
    <row r="42" spans="1:11" ht="12.75">
      <c r="A42" s="4" t="s">
        <v>531</v>
      </c>
      <c r="B42" s="29" t="str">
        <f>TRIM(RefStr!C72)</f>
        <v>stipe.bevanda@maraska.hr</v>
      </c>
      <c r="D42" s="4" t="s">
        <v>1521</v>
      </c>
      <c r="E42" s="4">
        <v>1</v>
      </c>
      <c r="F42" s="4">
        <f>Bilanca!G49</f>
        <v>41</v>
      </c>
      <c r="G42" s="4">
        <f>IF(Bilanca!H49=0,"",Bilanca!H49)</f>
      </c>
      <c r="H42" s="30">
        <f t="shared" si="0"/>
        <v>24507096.87</v>
      </c>
      <c r="I42" s="31">
        <f t="shared" si="1"/>
        <v>0</v>
      </c>
      <c r="J42" s="31">
        <f>Bilanca!I49</f>
        <v>22260649</v>
      </c>
      <c r="K42" s="31">
        <f>Bilanca!J49</f>
        <v>18756379</v>
      </c>
    </row>
    <row r="43" spans="1:11" ht="12.75">
      <c r="A43" s="4" t="s">
        <v>530</v>
      </c>
      <c r="B43" s="29" t="str">
        <f>TRIM(RefStr!A75)</f>
        <v>STIPE BEVANDA</v>
      </c>
      <c r="D43" s="4" t="s">
        <v>1521</v>
      </c>
      <c r="E43" s="4">
        <v>1</v>
      </c>
      <c r="F43" s="4">
        <f>Bilanca!G50</f>
        <v>42</v>
      </c>
      <c r="G43" s="4">
        <f>IF(Bilanca!H50=0,"",Bilanca!H50)</f>
      </c>
      <c r="H43" s="30">
        <f t="shared" si="0"/>
        <v>231915.18</v>
      </c>
      <c r="I43" s="31">
        <f t="shared" si="1"/>
        <v>0</v>
      </c>
      <c r="J43" s="31">
        <f>Bilanca!I50</f>
        <v>91583</v>
      </c>
      <c r="K43" s="31">
        <f>Bilanca!J50</f>
        <v>230298</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2411345.25</v>
      </c>
      <c r="I46" s="31">
        <f aca="true" t="shared" si="3" ref="I46:I84">ABS(ROUND(J46,0)-J46)+ABS(ROUND(K46,0)-K46)</f>
        <v>0</v>
      </c>
      <c r="J46" s="31">
        <f>Bilanca!I53</f>
        <v>1703411</v>
      </c>
      <c r="K46" s="31">
        <f>Bilanca!J53</f>
        <v>1827567</v>
      </c>
    </row>
    <row r="47" spans="1:11" ht="12.75">
      <c r="A47" s="4" t="s">
        <v>1916</v>
      </c>
      <c r="B47" s="29" t="str">
        <f>IF(RDG!Q1&lt;&gt;0,"DA","NE")</f>
        <v>DA</v>
      </c>
      <c r="D47" s="4" t="s">
        <v>1521</v>
      </c>
      <c r="E47" s="4">
        <v>1</v>
      </c>
      <c r="F47" s="4">
        <f>Bilanca!G54</f>
        <v>46</v>
      </c>
      <c r="G47" s="4">
        <f>IF(Bilanca!H54=0,"",Bilanca!H54)</f>
      </c>
      <c r="H47" s="30">
        <f t="shared" si="2"/>
        <v>39937964.519999996</v>
      </c>
      <c r="I47" s="31">
        <f t="shared" si="3"/>
        <v>0</v>
      </c>
      <c r="J47" s="31">
        <f>Bilanca!I54</f>
        <v>36226040</v>
      </c>
      <c r="K47" s="31">
        <f>Bilanca!J54</f>
        <v>25297811</v>
      </c>
    </row>
    <row r="48" spans="1:11" ht="12.75">
      <c r="A48" s="4" t="s">
        <v>1918</v>
      </c>
      <c r="B48" s="29" t="str">
        <f>RefStr!I54</f>
        <v>DA</v>
      </c>
      <c r="D48" s="4" t="s">
        <v>1521</v>
      </c>
      <c r="E48" s="4">
        <v>1</v>
      </c>
      <c r="F48" s="4">
        <f>Bilanca!G55</f>
        <v>47</v>
      </c>
      <c r="G48" s="4">
        <f>IF(Bilanca!H55=0,"",Bilanca!H55)</f>
      </c>
      <c r="H48" s="30">
        <f t="shared" si="2"/>
        <v>1846703.3200000003</v>
      </c>
      <c r="I48" s="31">
        <f t="shared" si="3"/>
        <v>0</v>
      </c>
      <c r="J48" s="31">
        <f>Bilanca!I55</f>
        <v>1250552</v>
      </c>
      <c r="K48" s="31">
        <f>Bilanca!J55</f>
        <v>1339302</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40191971.68</v>
      </c>
      <c r="I50" s="31">
        <f t="shared" si="3"/>
        <v>0</v>
      </c>
      <c r="J50" s="31">
        <f>Bilanca!I57</f>
        <v>34413818</v>
      </c>
      <c r="K50" s="31">
        <f>Bilanca!J57</f>
        <v>23805307</v>
      </c>
    </row>
    <row r="51" spans="1:11" ht="12.75">
      <c r="A51" s="4" t="s">
        <v>288</v>
      </c>
      <c r="B51" s="29" t="str">
        <f>RefStr!I60</f>
        <v>DA</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100379.22</v>
      </c>
      <c r="I52" s="31">
        <f t="shared" si="3"/>
        <v>0</v>
      </c>
      <c r="J52" s="31">
        <f>Bilanca!I59</f>
        <v>0</v>
      </c>
      <c r="K52" s="31">
        <f>Bilanca!J59</f>
        <v>98411</v>
      </c>
    </row>
    <row r="53" spans="1:11" ht="12.75">
      <c r="A53" s="4" t="s">
        <v>532</v>
      </c>
      <c r="B53" s="29" t="str">
        <f>RefStr!I56</f>
        <v>DA</v>
      </c>
      <c r="D53" s="4" t="s">
        <v>1521</v>
      </c>
      <c r="E53" s="4">
        <v>1</v>
      </c>
      <c r="F53" s="4">
        <f>Bilanca!G60</f>
        <v>52</v>
      </c>
      <c r="G53" s="4">
        <f>IF(Bilanca!H60=0,"",Bilanca!H60)</f>
      </c>
      <c r="H53" s="30">
        <f t="shared" si="2"/>
        <v>349051.04</v>
      </c>
      <c r="I53" s="31">
        <f t="shared" si="3"/>
        <v>0</v>
      </c>
      <c r="J53" s="31">
        <f>Bilanca!I60</f>
        <v>561670</v>
      </c>
      <c r="K53" s="31">
        <f>Bilanca!J60</f>
        <v>54791</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50185639678.11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20963249418</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697438.35</v>
      </c>
      <c r="I64" s="31">
        <f t="shared" si="3"/>
        <v>0</v>
      </c>
      <c r="J64" s="31">
        <f>Bilanca!I71</f>
        <v>1058725</v>
      </c>
      <c r="K64" s="31">
        <f>Bilanca!J71</f>
        <v>24160</v>
      </c>
    </row>
    <row r="65" spans="1:11" ht="12.75">
      <c r="A65" s="4" t="s">
        <v>687</v>
      </c>
      <c r="B65" s="29" t="str">
        <f>RefStr!N19</f>
        <v>HSFI</v>
      </c>
      <c r="D65" s="4" t="s">
        <v>1521</v>
      </c>
      <c r="E65" s="4">
        <v>1</v>
      </c>
      <c r="F65" s="4">
        <f>Bilanca!G72</f>
        <v>64</v>
      </c>
      <c r="G65" s="4">
        <f>IF(Bilanca!H72=0,"",Bilanca!H72)</f>
      </c>
      <c r="H65" s="30">
        <f t="shared" si="2"/>
        <v>563200</v>
      </c>
      <c r="I65" s="31">
        <f t="shared" si="3"/>
        <v>0</v>
      </c>
      <c r="J65" s="31">
        <f>Bilanca!I72</f>
        <v>880000</v>
      </c>
      <c r="K65" s="31">
        <f>Bilanca!J72</f>
        <v>0</v>
      </c>
    </row>
    <row r="66" spans="1:11" ht="12.75">
      <c r="A66" s="4" t="s">
        <v>688</v>
      </c>
      <c r="B66" s="29">
        <f>RefStr!C23</f>
        <v>1</v>
      </c>
      <c r="D66" s="4" t="s">
        <v>1521</v>
      </c>
      <c r="E66" s="4">
        <v>1</v>
      </c>
      <c r="F66" s="4">
        <f>Bilanca!G73</f>
        <v>65</v>
      </c>
      <c r="G66" s="4">
        <f>IF(Bilanca!H73=0,"",Bilanca!H73)</f>
      </c>
      <c r="H66" s="30">
        <f t="shared" si="2"/>
        <v>323153219.35</v>
      </c>
      <c r="I66" s="31">
        <f t="shared" si="3"/>
        <v>0</v>
      </c>
      <c r="J66" s="31">
        <f>Bilanca!I73</f>
        <v>180722003</v>
      </c>
      <c r="K66" s="31">
        <f>Bilanca!J73</f>
        <v>158218398</v>
      </c>
    </row>
    <row r="67" spans="1:11" ht="12.75">
      <c r="A67" s="4" t="s">
        <v>689</v>
      </c>
      <c r="B67" s="29" t="str">
        <f>RefStr!L35</f>
        <v>023/208-800</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3</v>
      </c>
      <c r="D68" s="4" t="s">
        <v>1521</v>
      </c>
      <c r="E68" s="4">
        <v>1</v>
      </c>
      <c r="F68" s="4">
        <f>Bilanca!G76</f>
        <v>67</v>
      </c>
      <c r="G68" s="4">
        <f>IF(Bilanca!H76=0,"",Bilanca!H76)</f>
      </c>
      <c r="H68" s="30">
        <f t="shared" si="2"/>
        <v>95513438.57</v>
      </c>
      <c r="I68" s="31">
        <f t="shared" si="3"/>
        <v>0</v>
      </c>
      <c r="J68" s="31">
        <f>Bilanca!I76</f>
        <v>53416275</v>
      </c>
      <c r="K68" s="31">
        <f>Bilanca!J76</f>
        <v>44570548</v>
      </c>
    </row>
    <row r="69" spans="1:11" ht="12.75">
      <c r="A69" s="4" t="s">
        <v>691</v>
      </c>
      <c r="B69" s="29" t="str">
        <f>RefStr!M46</f>
        <v>4272016790006</v>
      </c>
      <c r="D69" s="4" t="s">
        <v>1521</v>
      </c>
      <c r="E69" s="4">
        <v>1</v>
      </c>
      <c r="F69" s="4">
        <f>Bilanca!G77</f>
        <v>68</v>
      </c>
      <c r="G69" s="4">
        <f>IF(Bilanca!H77=0,"",Bilanca!H77)</f>
      </c>
      <c r="H69" s="30">
        <f t="shared" si="2"/>
        <v>203833434</v>
      </c>
      <c r="I69" s="31">
        <f t="shared" si="3"/>
        <v>0</v>
      </c>
      <c r="J69" s="31">
        <f>Bilanca!I77</f>
        <v>99918350</v>
      </c>
      <c r="K69" s="31">
        <f>Bilanca!J77</f>
        <v>99918350</v>
      </c>
    </row>
    <row r="70" spans="1:11" ht="12.75">
      <c r="A70" s="4" t="s">
        <v>692</v>
      </c>
      <c r="B70" s="29">
        <f>RefStr!C46</f>
        <v>70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-117356638.59</v>
      </c>
      <c r="I82" s="31">
        <f t="shared" si="3"/>
        <v>0</v>
      </c>
      <c r="J82" s="31">
        <f>Bilanca!I90</f>
        <v>-51880589</v>
      </c>
      <c r="K82" s="31">
        <f>Bilanca!J90</f>
        <v>-46502075</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120254333.37</v>
      </c>
      <c r="I84" s="31">
        <f t="shared" si="3"/>
        <v>0</v>
      </c>
      <c r="J84" s="31">
        <f>Bilanca!I92</f>
        <v>51880589</v>
      </c>
      <c r="K84" s="31">
        <f>Bilanca!J92</f>
        <v>46502075</v>
      </c>
    </row>
    <row r="85" spans="4:11" ht="12.75">
      <c r="D85" s="4" t="s">
        <v>1521</v>
      </c>
      <c r="E85" s="4">
        <v>1</v>
      </c>
      <c r="F85" s="4">
        <f>Bilanca!G93</f>
        <v>84</v>
      </c>
      <c r="G85" s="4">
        <f>IF(Bilanca!H93=0,"",Bilanca!H93)</f>
      </c>
      <c r="H85" s="30">
        <f>J85/100*F85+2*K85/100*F85</f>
        <v>-10342869.600000001</v>
      </c>
      <c r="I85" s="31">
        <f>ABS(ROUND(J85,0)-J85)+ABS(ROUND(K85,0)-K85)</f>
        <v>0</v>
      </c>
      <c r="J85" s="31">
        <f>Bilanca!I93</f>
        <v>5378514</v>
      </c>
      <c r="K85" s="31">
        <f>Bilanca!J93</f>
        <v>-8845727</v>
      </c>
    </row>
    <row r="86" spans="4:11" ht="12.75">
      <c r="D86" s="4" t="s">
        <v>1521</v>
      </c>
      <c r="E86" s="4">
        <v>1</v>
      </c>
      <c r="F86" s="4">
        <f>Bilanca!G94</f>
        <v>85</v>
      </c>
      <c r="G86" s="4">
        <f>IF(Bilanca!H94=0,"",Bilanca!H94)</f>
      </c>
      <c r="H86" s="30">
        <f>J86/100*F86+2*K86/100*F86</f>
        <v>4571736.9</v>
      </c>
      <c r="I86" s="31">
        <f>ABS(ROUND(J86,0)-J86)+ABS(ROUND(K86,0)-K86)</f>
        <v>0</v>
      </c>
      <c r="J86" s="31">
        <f>Bilanca!I94</f>
        <v>5378514</v>
      </c>
      <c r="K86" s="31">
        <f>Bilanca!J94</f>
        <v>0</v>
      </c>
    </row>
    <row r="87" spans="4:11" ht="12.75">
      <c r="D87" s="4" t="s">
        <v>1521</v>
      </c>
      <c r="E87" s="4">
        <v>1</v>
      </c>
      <c r="F87" s="4">
        <f>Bilanca!G95</f>
        <v>86</v>
      </c>
      <c r="G87" s="4">
        <f>IF(Bilanca!H95=0,"",Bilanca!H95)</f>
      </c>
      <c r="H87" s="30">
        <f aca="true" t="shared" si="4" ref="H87:H127">J87/100*F87+2*K87/100*F87</f>
        <v>15214650.440000001</v>
      </c>
      <c r="I87" s="31">
        <f aca="true" t="shared" si="5" ref="I87:I127">ABS(ROUND(J87,0)-J87)+ABS(ROUND(K87,0)-K87)</f>
        <v>0</v>
      </c>
      <c r="J87" s="31">
        <f>Bilanca!I95</f>
        <v>0</v>
      </c>
      <c r="K87" s="31">
        <f>Bilanca!J95</f>
        <v>8845727</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2094927.12</v>
      </c>
      <c r="I89" s="31">
        <f t="shared" si="5"/>
        <v>0</v>
      </c>
      <c r="J89" s="31">
        <f>Bilanca!I97</f>
        <v>792533</v>
      </c>
      <c r="K89" s="31">
        <f>Bilanca!J97</f>
        <v>794033</v>
      </c>
    </row>
    <row r="90" spans="4:11" ht="12.75">
      <c r="D90" s="4" t="s">
        <v>1521</v>
      </c>
      <c r="E90" s="4">
        <v>1</v>
      </c>
      <c r="F90" s="4">
        <f>Bilanca!G98</f>
        <v>89</v>
      </c>
      <c r="G90" s="4">
        <f>IF(Bilanca!H98=0,"",Bilanca!H98)</f>
      </c>
      <c r="H90" s="30">
        <f t="shared" si="4"/>
        <v>1395336.66</v>
      </c>
      <c r="I90" s="31">
        <f t="shared" si="5"/>
        <v>0</v>
      </c>
      <c r="J90" s="31">
        <f>Bilanca!I98</f>
        <v>521598</v>
      </c>
      <c r="K90" s="31">
        <f>Bilanca!J98</f>
        <v>523098</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739652.55</v>
      </c>
      <c r="I92" s="31">
        <f t="shared" si="5"/>
        <v>0</v>
      </c>
      <c r="J92" s="31">
        <f>Bilanca!I100</f>
        <v>270935</v>
      </c>
      <c r="K92" s="31">
        <f>Bilanca!J100</f>
        <v>270935</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140780166.55</v>
      </c>
      <c r="I96" s="31">
        <f t="shared" si="5"/>
        <v>0</v>
      </c>
      <c r="J96" s="31">
        <f>Bilanca!I104</f>
        <v>53525471</v>
      </c>
      <c r="K96" s="31">
        <f>Bilanca!J104</f>
        <v>47332089</v>
      </c>
    </row>
    <row r="97" spans="4:11" ht="12.75">
      <c r="D97" s="4" t="s">
        <v>1521</v>
      </c>
      <c r="E97" s="4">
        <v>1</v>
      </c>
      <c r="F97" s="4">
        <f>Bilanca!G105</f>
        <v>96</v>
      </c>
      <c r="G97" s="4">
        <f>IF(Bilanca!H105=0,"",Bilanca!H105)</f>
      </c>
      <c r="H97" s="30">
        <f t="shared" si="4"/>
        <v>37384297.92</v>
      </c>
      <c r="I97" s="31">
        <f t="shared" si="5"/>
        <v>0</v>
      </c>
      <c r="J97" s="31">
        <f>Bilanca!I105</f>
        <v>12980659</v>
      </c>
      <c r="K97" s="31">
        <f>Bilanca!J105</f>
        <v>12980659</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110340148.72</v>
      </c>
      <c r="I102" s="31">
        <f t="shared" si="5"/>
        <v>0</v>
      </c>
      <c r="J102" s="31">
        <f>Bilanca!I110</f>
        <v>40544812</v>
      </c>
      <c r="K102" s="31">
        <f>Bilanca!J110</f>
        <v>34351430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218235234.41000003</v>
      </c>
      <c r="I108" s="31">
        <f t="shared" si="5"/>
        <v>0</v>
      </c>
      <c r="J108" s="31">
        <f>Bilanca!I116</f>
        <v>72914707</v>
      </c>
      <c r="K108" s="31">
        <f>Bilanca!J116</f>
        <v>65521728</v>
      </c>
    </row>
    <row r="109" spans="4:11" ht="12.75">
      <c r="D109" s="4" t="s">
        <v>1521</v>
      </c>
      <c r="E109" s="4">
        <v>1</v>
      </c>
      <c r="F109" s="4">
        <f>Bilanca!G117</f>
        <v>108</v>
      </c>
      <c r="G109" s="4">
        <f>IF(Bilanca!H117=0,"",Bilanca!H117)</f>
      </c>
      <c r="H109" s="30">
        <f t="shared" si="4"/>
        <v>13613177.52</v>
      </c>
      <c r="I109" s="31">
        <f t="shared" si="5"/>
        <v>0</v>
      </c>
      <c r="J109" s="31">
        <f>Bilanca!I117</f>
        <v>3322364</v>
      </c>
      <c r="K109" s="31">
        <f>Bilanca!J117</f>
        <v>4641215</v>
      </c>
    </row>
    <row r="110" spans="4:11" ht="12.75">
      <c r="D110" s="4" t="s">
        <v>1521</v>
      </c>
      <c r="E110" s="4">
        <v>1</v>
      </c>
      <c r="F110" s="4">
        <f>Bilanca!G118</f>
        <v>109</v>
      </c>
      <c r="G110" s="4">
        <f>IF(Bilanca!H118=0,"",Bilanca!H118)</f>
      </c>
      <c r="H110" s="30">
        <f t="shared" si="4"/>
        <v>75927091.38</v>
      </c>
      <c r="I110" s="31">
        <f t="shared" si="5"/>
        <v>0</v>
      </c>
      <c r="J110" s="31">
        <f>Bilanca!I118</f>
        <v>23219294</v>
      </c>
      <c r="K110" s="31">
        <f>Bilanca!J118</f>
        <v>23219294</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59042591.53</v>
      </c>
      <c r="I114" s="31">
        <f t="shared" si="5"/>
        <v>0</v>
      </c>
      <c r="J114" s="31">
        <f>Bilanca!I122</f>
        <v>16668637</v>
      </c>
      <c r="K114" s="31">
        <f>Bilanca!J122</f>
        <v>17790722</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59566007.2</v>
      </c>
      <c r="I116" s="31">
        <f t="shared" si="5"/>
        <v>0</v>
      </c>
      <c r="J116" s="31">
        <f>Bilanca!I124</f>
        <v>22227788</v>
      </c>
      <c r="K116" s="31">
        <f>Bilanca!J124</f>
        <v>14784370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2832048.18</v>
      </c>
      <c r="I118" s="31">
        <f t="shared" si="5"/>
        <v>0</v>
      </c>
      <c r="J118" s="31">
        <f>Bilanca!I126</f>
        <v>867860</v>
      </c>
      <c r="K118" s="31">
        <f>Bilanca!J126</f>
        <v>776347</v>
      </c>
    </row>
    <row r="119" spans="4:11" ht="12.75">
      <c r="D119" s="4" t="s">
        <v>1521</v>
      </c>
      <c r="E119" s="4">
        <v>1</v>
      </c>
      <c r="F119" s="4">
        <f>Bilanca!G127</f>
        <v>118</v>
      </c>
      <c r="G119" s="4">
        <f>IF(Bilanca!H127=0,"",Bilanca!H127)</f>
      </c>
      <c r="H119" s="30">
        <f t="shared" si="4"/>
        <v>16503193.260000002</v>
      </c>
      <c r="I119" s="31">
        <f t="shared" si="5"/>
        <v>0</v>
      </c>
      <c r="J119" s="31">
        <f>Bilanca!I127</f>
        <v>6471285</v>
      </c>
      <c r="K119" s="31">
        <f>Bilanca!J127</f>
        <v>3757236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1503506.07</v>
      </c>
      <c r="I122" s="31">
        <f t="shared" si="5"/>
        <v>0</v>
      </c>
      <c r="J122" s="31">
        <f>Bilanca!I130</f>
        <v>137479</v>
      </c>
      <c r="K122" s="31">
        <f>Bilanca!J130</f>
        <v>552544</v>
      </c>
    </row>
    <row r="123" spans="4:11" ht="12.75">
      <c r="D123" s="4" t="s">
        <v>1521</v>
      </c>
      <c r="E123" s="4">
        <v>1</v>
      </c>
      <c r="F123" s="4">
        <f>Bilanca!G131</f>
        <v>122</v>
      </c>
      <c r="G123" s="4">
        <f>IF(Bilanca!H131=0,"",Bilanca!H131)</f>
      </c>
      <c r="H123" s="30">
        <f t="shared" si="4"/>
        <v>89080.73999999999</v>
      </c>
      <c r="I123" s="31">
        <f t="shared" si="5"/>
        <v>0</v>
      </c>
      <c r="J123" s="31">
        <f>Bilanca!I131</f>
        <v>73017</v>
      </c>
      <c r="K123" s="31">
        <f>Bilanca!J131</f>
        <v>0</v>
      </c>
    </row>
    <row r="124" spans="4:11" ht="12.75">
      <c r="D124" s="4" t="s">
        <v>1521</v>
      </c>
      <c r="E124" s="4">
        <v>1</v>
      </c>
      <c r="F124" s="4">
        <f>Bilanca!G132</f>
        <v>123</v>
      </c>
      <c r="G124" s="4">
        <f>IF(Bilanca!H132=0,"",Bilanca!H132)</f>
      </c>
      <c r="H124" s="30">
        <f t="shared" si="4"/>
        <v>611505322.77</v>
      </c>
      <c r="I124" s="31">
        <f t="shared" si="5"/>
        <v>0</v>
      </c>
      <c r="J124" s="31">
        <f>Bilanca!I132</f>
        <v>180722003</v>
      </c>
      <c r="K124" s="31">
        <f>Bilanca!J132</f>
        <v>158218398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369698737.5</v>
      </c>
      <c r="I126" s="4">
        <f t="shared" si="5"/>
        <v>0</v>
      </c>
      <c r="J126" s="31">
        <f>RDG!I8</f>
        <v>120518672</v>
      </c>
      <c r="K126" s="31">
        <f>RDG!J8</f>
        <v>87620159</v>
      </c>
    </row>
    <row r="127" spans="4:11" ht="12.75">
      <c r="D127" s="4" t="s">
        <v>541</v>
      </c>
      <c r="E127" s="4">
        <v>2</v>
      </c>
      <c r="F127" s="4">
        <f>RDG!G9</f>
        <v>126</v>
      </c>
      <c r="G127" s="4">
        <f>IF(RDG!H9=0,"",RDG!H9)</f>
      </c>
      <c r="H127" s="30">
        <f t="shared" si="4"/>
        <v>44615308.5</v>
      </c>
      <c r="I127" s="4">
        <f t="shared" si="5"/>
        <v>0</v>
      </c>
      <c r="J127" s="31">
        <f>RDG!I9</f>
        <v>13093559</v>
      </c>
      <c r="K127" s="31">
        <f>RDG!J9</f>
        <v>11157708</v>
      </c>
    </row>
    <row r="128" spans="4:11" ht="12.75">
      <c r="D128" s="4" t="s">
        <v>541</v>
      </c>
      <c r="E128" s="4">
        <v>2</v>
      </c>
      <c r="F128" s="4">
        <f>RDG!G10</f>
        <v>127</v>
      </c>
      <c r="G128" s="4">
        <f>IF(RDG!H10=0,"",RDG!H10)</f>
      </c>
      <c r="H128" s="30">
        <f aca="true" t="shared" si="6" ref="H128:H190">J128/100*F128+2*K128/100*F128</f>
        <v>318896452.63</v>
      </c>
      <c r="I128" s="4">
        <f aca="true" t="shared" si="7" ref="I128:I190">ABS(ROUND(J128,0)-J128)+ABS(ROUND(K128,0)-K128)</f>
        <v>0</v>
      </c>
      <c r="J128" s="31">
        <f>RDG!I10</f>
        <v>105747683</v>
      </c>
      <c r="K128" s="31">
        <f>RDG!J10</f>
        <v>72675943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11933075.34</v>
      </c>
      <c r="I130" s="4">
        <f t="shared" si="7"/>
        <v>0</v>
      </c>
      <c r="J130" s="31">
        <f>RDG!I12</f>
        <v>1677430</v>
      </c>
      <c r="K130" s="31">
        <f>RDG!J12</f>
        <v>3786508</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401450403.9</v>
      </c>
      <c r="I132" s="4">
        <f t="shared" si="7"/>
        <v>0</v>
      </c>
      <c r="J132" s="31">
        <f>RDG!I14</f>
        <v>112863944</v>
      </c>
      <c r="K132" s="31">
        <f>RDG!J14</f>
        <v>96793373</v>
      </c>
    </row>
    <row r="133" spans="4:11" ht="12.75">
      <c r="D133" s="4" t="s">
        <v>541</v>
      </c>
      <c r="E133" s="4">
        <v>2</v>
      </c>
      <c r="F133" s="4">
        <f>RDG!G15</f>
        <v>132</v>
      </c>
      <c r="G133" s="4">
        <f>IF(RDG!H15=0,"",RDG!H15)</f>
      </c>
      <c r="H133" s="30">
        <f t="shared" si="6"/>
        <v>10363263.24</v>
      </c>
      <c r="I133" s="4">
        <f t="shared" si="7"/>
        <v>0</v>
      </c>
      <c r="J133" s="31">
        <f>RDG!I15</f>
        <v>-247531</v>
      </c>
      <c r="K133" s="31">
        <f>RDG!J15</f>
        <v>4049244</v>
      </c>
    </row>
    <row r="134" spans="4:11" ht="12.75">
      <c r="D134" s="4" t="s">
        <v>541</v>
      </c>
      <c r="E134" s="4">
        <v>2</v>
      </c>
      <c r="F134" s="4">
        <f>RDG!G16</f>
        <v>133</v>
      </c>
      <c r="G134" s="4">
        <f>IF(RDG!H16=0,"",RDG!H16)</f>
      </c>
      <c r="H134" s="30">
        <f t="shared" si="6"/>
        <v>229813798.90000004</v>
      </c>
      <c r="I134" s="4">
        <f t="shared" si="7"/>
        <v>0</v>
      </c>
      <c r="J134" s="31">
        <f>RDG!I16</f>
        <v>67886818</v>
      </c>
      <c r="K134" s="31">
        <f>RDG!J16</f>
        <v>52452756</v>
      </c>
    </row>
    <row r="135" spans="4:11" ht="12.75">
      <c r="D135" s="4" t="s">
        <v>541</v>
      </c>
      <c r="E135" s="4">
        <v>2</v>
      </c>
      <c r="F135" s="4">
        <f>RDG!G17</f>
        <v>134</v>
      </c>
      <c r="G135" s="4">
        <f>IF(RDG!H17=0,"",RDG!H17)</f>
      </c>
      <c r="H135" s="30">
        <f t="shared" si="6"/>
        <v>203978949.98000002</v>
      </c>
      <c r="I135" s="4">
        <f t="shared" si="7"/>
        <v>0</v>
      </c>
      <c r="J135" s="31">
        <f>RDG!I17</f>
        <v>58828653</v>
      </c>
      <c r="K135" s="31">
        <f>RDG!J17</f>
        <v>46697222</v>
      </c>
    </row>
    <row r="136" spans="4:11" ht="12.75">
      <c r="D136" s="4" t="s">
        <v>541</v>
      </c>
      <c r="E136" s="4">
        <v>2</v>
      </c>
      <c r="F136" s="4">
        <f>RDG!G18</f>
        <v>135</v>
      </c>
      <c r="G136" s="4">
        <f>IF(RDG!H18=0,"",RDG!H18)</f>
      </c>
      <c r="H136" s="30">
        <f t="shared" si="6"/>
        <v>3446806.5</v>
      </c>
      <c r="I136" s="4">
        <f t="shared" si="7"/>
        <v>0</v>
      </c>
      <c r="J136" s="31">
        <f>RDG!I18</f>
        <v>1184574</v>
      </c>
      <c r="K136" s="31">
        <f>RDG!J18</f>
        <v>684308</v>
      </c>
    </row>
    <row r="137" spans="4:11" ht="12.75">
      <c r="D137" s="4" t="s">
        <v>541</v>
      </c>
      <c r="E137" s="4">
        <v>2</v>
      </c>
      <c r="F137" s="4">
        <f>RDG!G19</f>
        <v>136</v>
      </c>
      <c r="G137" s="4">
        <f>IF(RDG!H19=0,"",RDG!H19)</f>
      </c>
      <c r="H137" s="30">
        <f t="shared" si="6"/>
        <v>24501818.48</v>
      </c>
      <c r="I137" s="4">
        <f t="shared" si="7"/>
        <v>0</v>
      </c>
      <c r="J137" s="31">
        <f>RDG!I19</f>
        <v>7873591</v>
      </c>
      <c r="K137" s="31">
        <f>RDG!J19</f>
        <v>5071226</v>
      </c>
    </row>
    <row r="138" spans="4:11" ht="12.75">
      <c r="D138" s="4" t="s">
        <v>541</v>
      </c>
      <c r="E138" s="4">
        <v>2</v>
      </c>
      <c r="F138" s="4">
        <f>RDG!G20</f>
        <v>137</v>
      </c>
      <c r="G138" s="4">
        <f>IF(RDG!H20=0,"",RDG!H20)</f>
      </c>
      <c r="H138" s="30">
        <f t="shared" si="6"/>
        <v>58224360.21</v>
      </c>
      <c r="I138" s="4">
        <f t="shared" si="7"/>
        <v>0</v>
      </c>
      <c r="J138" s="31">
        <f>RDG!I20</f>
        <v>15009325</v>
      </c>
      <c r="K138" s="31">
        <f>RDG!J20</f>
        <v>13745104</v>
      </c>
    </row>
    <row r="139" spans="4:11" ht="12.75">
      <c r="D139" s="4" t="s">
        <v>541</v>
      </c>
      <c r="E139" s="4">
        <v>2</v>
      </c>
      <c r="F139" s="4">
        <f>RDG!G21</f>
        <v>138</v>
      </c>
      <c r="G139" s="4">
        <f>IF(RDG!H21=0,"",RDG!H21)</f>
      </c>
      <c r="H139" s="30">
        <f t="shared" si="6"/>
        <v>37409550.6</v>
      </c>
      <c r="I139" s="4">
        <f t="shared" si="7"/>
        <v>0</v>
      </c>
      <c r="J139" s="31">
        <f>RDG!I21</f>
        <v>9493630</v>
      </c>
      <c r="K139" s="31">
        <f>RDG!J21</f>
        <v>8807370</v>
      </c>
    </row>
    <row r="140" spans="4:11" ht="12.75">
      <c r="D140" s="4" t="s">
        <v>541</v>
      </c>
      <c r="E140" s="4">
        <v>2</v>
      </c>
      <c r="F140" s="4">
        <f>RDG!G22</f>
        <v>139</v>
      </c>
      <c r="G140" s="4">
        <f>IF(RDG!H22=0,"",RDG!H22)</f>
      </c>
      <c r="H140" s="30">
        <f t="shared" si="6"/>
        <v>13400999.73</v>
      </c>
      <c r="I140" s="4">
        <f t="shared" si="7"/>
        <v>0</v>
      </c>
      <c r="J140" s="31">
        <f>RDG!I22</f>
        <v>3462989</v>
      </c>
      <c r="K140" s="31">
        <f>RDG!J22</f>
        <v>3089009</v>
      </c>
    </row>
    <row r="141" spans="4:11" ht="12.75">
      <c r="D141" s="4" t="s">
        <v>541</v>
      </c>
      <c r="E141" s="4">
        <v>2</v>
      </c>
      <c r="F141" s="4">
        <f>RDG!G23</f>
        <v>140</v>
      </c>
      <c r="G141" s="4">
        <f>IF(RDG!H23=0,"",RDG!H23)</f>
      </c>
      <c r="H141" s="30">
        <f t="shared" si="6"/>
        <v>8050218.4</v>
      </c>
      <c r="I141" s="4">
        <f t="shared" si="7"/>
        <v>0</v>
      </c>
      <c r="J141" s="31">
        <f>RDG!I23</f>
        <v>2052706</v>
      </c>
      <c r="K141" s="31">
        <f>RDG!J23</f>
        <v>1848725</v>
      </c>
    </row>
    <row r="142" spans="4:11" ht="12.75">
      <c r="D142" s="4" t="s">
        <v>541</v>
      </c>
      <c r="E142" s="4">
        <v>2</v>
      </c>
      <c r="F142" s="4">
        <f>RDG!G24</f>
        <v>141</v>
      </c>
      <c r="G142" s="4">
        <f>IF(RDG!H24=0,"",RDG!H24)</f>
      </c>
      <c r="H142" s="30">
        <f t="shared" si="6"/>
        <v>31381814.46</v>
      </c>
      <c r="I142" s="4">
        <f t="shared" si="7"/>
        <v>0</v>
      </c>
      <c r="J142" s="31">
        <f>RDG!I24</f>
        <v>7682588</v>
      </c>
      <c r="K142" s="31">
        <f>RDG!J24</f>
        <v>7287009</v>
      </c>
    </row>
    <row r="143" spans="4:11" ht="12.75">
      <c r="D143" s="4" t="s">
        <v>541</v>
      </c>
      <c r="E143" s="4">
        <v>2</v>
      </c>
      <c r="F143" s="4">
        <f>RDG!G25</f>
        <v>142</v>
      </c>
      <c r="G143" s="4">
        <f>IF(RDG!H25=0,"",RDG!H25)</f>
      </c>
      <c r="H143" s="30">
        <f t="shared" si="6"/>
        <v>66221022.66</v>
      </c>
      <c r="I143" s="4">
        <f t="shared" si="7"/>
        <v>0</v>
      </c>
      <c r="J143" s="31">
        <f>RDG!I25</f>
        <v>17006825</v>
      </c>
      <c r="K143" s="31">
        <f>RDG!J25</f>
        <v>14813849</v>
      </c>
    </row>
    <row r="144" spans="4:11" ht="12.75">
      <c r="D144" s="4" t="s">
        <v>541</v>
      </c>
      <c r="E144" s="4">
        <v>2</v>
      </c>
      <c r="F144" s="4">
        <f>RDG!G26</f>
        <v>143</v>
      </c>
      <c r="G144" s="4">
        <f>IF(RDG!H26=0,"",RDG!H26)</f>
      </c>
      <c r="H144" s="30">
        <f t="shared" si="6"/>
        <v>6260617.22</v>
      </c>
      <c r="I144" s="4">
        <f t="shared" si="7"/>
        <v>0</v>
      </c>
      <c r="J144" s="31">
        <f>RDG!I26</f>
        <v>480910</v>
      </c>
      <c r="K144" s="31">
        <f>RDG!J26</f>
        <v>1948572</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6348178.300000001</v>
      </c>
      <c r="I146" s="4">
        <f t="shared" si="7"/>
        <v>0</v>
      </c>
      <c r="J146" s="31">
        <f>RDG!I28</f>
        <v>480910</v>
      </c>
      <c r="K146" s="31">
        <f>RDG!J28</f>
        <v>1948572</v>
      </c>
    </row>
    <row r="147" spans="4:11" ht="12.75">
      <c r="D147" s="4" t="s">
        <v>541</v>
      </c>
      <c r="E147" s="4">
        <v>2</v>
      </c>
      <c r="F147" s="4">
        <f>RDG!G29</f>
        <v>146</v>
      </c>
      <c r="G147" s="4">
        <f>IF(RDG!H29=0,"",RDG!H29)</f>
      </c>
      <c r="H147" s="30">
        <f t="shared" si="6"/>
        <v>4380</v>
      </c>
      <c r="I147" s="4">
        <f t="shared" si="7"/>
        <v>0</v>
      </c>
      <c r="J147" s="31">
        <f>RDG!I29</f>
        <v>0</v>
      </c>
      <c r="K147" s="31">
        <f>RDG!J29</f>
        <v>1500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4440</v>
      </c>
      <c r="I149" s="4">
        <f t="shared" si="7"/>
        <v>0</v>
      </c>
      <c r="J149" s="31">
        <f>RDG!I31</f>
        <v>0</v>
      </c>
      <c r="K149" s="31">
        <f>RDG!J31</f>
        <v>1500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15354601.11</v>
      </c>
      <c r="I154" s="4">
        <f t="shared" si="7"/>
        <v>0</v>
      </c>
      <c r="J154" s="31">
        <f>RDG!I36</f>
        <v>5045009</v>
      </c>
      <c r="K154" s="31">
        <f>RDG!J36</f>
        <v>2495339</v>
      </c>
    </row>
    <row r="155" spans="4:11" ht="12.75">
      <c r="D155" s="4" t="s">
        <v>541</v>
      </c>
      <c r="E155" s="4">
        <v>2</v>
      </c>
      <c r="F155" s="4">
        <f>RDG!G37</f>
        <v>154</v>
      </c>
      <c r="G155" s="4">
        <f>IF(RDG!H37=0,"",RDG!H37)</f>
      </c>
      <c r="H155" s="30">
        <f t="shared" si="6"/>
        <v>91683.9</v>
      </c>
      <c r="I155" s="4">
        <f t="shared" si="7"/>
        <v>0</v>
      </c>
      <c r="J155" s="31">
        <f>RDG!I37</f>
        <v>895</v>
      </c>
      <c r="K155" s="31">
        <f>RDG!J37</f>
        <v>29320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95851.34999999999</v>
      </c>
      <c r="I162" s="4">
        <f t="shared" si="7"/>
        <v>0</v>
      </c>
      <c r="J162" s="31">
        <f>RDG!I44</f>
        <v>895</v>
      </c>
      <c r="K162" s="31">
        <f>RDG!J44</f>
        <v>29320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10697324.55</v>
      </c>
      <c r="I166" s="4">
        <f t="shared" si="7"/>
        <v>0</v>
      </c>
      <c r="J166" s="31">
        <f>RDG!I48</f>
        <v>2277109</v>
      </c>
      <c r="K166" s="31">
        <f>RDG!J48</f>
        <v>2103059</v>
      </c>
    </row>
    <row r="167" spans="4:11" ht="12.75">
      <c r="D167" s="4" t="s">
        <v>541</v>
      </c>
      <c r="E167" s="4">
        <v>2</v>
      </c>
      <c r="F167" s="4">
        <f>RDG!G49</f>
        <v>166</v>
      </c>
      <c r="G167" s="4">
        <f>IF(RDG!H49=0,"",RDG!H49)</f>
      </c>
      <c r="H167" s="30">
        <f t="shared" si="6"/>
        <v>2331211.04</v>
      </c>
      <c r="I167" s="4">
        <f t="shared" si="7"/>
        <v>0</v>
      </c>
      <c r="J167" s="31">
        <f>RDG!I49</f>
        <v>514034</v>
      </c>
      <c r="K167" s="31">
        <f>RDG!J49</f>
        <v>445155</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7661808</v>
      </c>
      <c r="I169" s="4">
        <f t="shared" si="7"/>
        <v>0</v>
      </c>
      <c r="J169" s="31">
        <f>RDG!I51</f>
        <v>1743728</v>
      </c>
      <c r="K169" s="31">
        <f>RDG!J51</f>
        <v>1408436</v>
      </c>
    </row>
    <row r="170" spans="4:11" ht="12.75">
      <c r="D170" s="4" t="s">
        <v>541</v>
      </c>
      <c r="E170" s="4">
        <v>2</v>
      </c>
      <c r="F170" s="4">
        <f>RDG!G52</f>
        <v>169</v>
      </c>
      <c r="G170" s="4">
        <f>IF(RDG!H52=0,"",RDG!H52)</f>
      </c>
      <c r="H170" s="30">
        <f t="shared" si="6"/>
        <v>875898.27</v>
      </c>
      <c r="I170" s="4">
        <f t="shared" si="7"/>
        <v>0</v>
      </c>
      <c r="J170" s="31">
        <f>RDG!I52</f>
        <v>19347</v>
      </c>
      <c r="K170" s="31">
        <f>RDG!J52</f>
        <v>249468</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523598789.25</v>
      </c>
      <c r="I178" s="4">
        <f t="shared" si="7"/>
        <v>0</v>
      </c>
      <c r="J178" s="31">
        <f>RDG!I60</f>
        <v>120519567</v>
      </c>
      <c r="K178" s="31">
        <f>RDG!J60</f>
        <v>87649479</v>
      </c>
    </row>
    <row r="179" spans="4:11" ht="12.75">
      <c r="D179" s="4" t="s">
        <v>541</v>
      </c>
      <c r="E179" s="4">
        <v>2</v>
      </c>
      <c r="F179" s="4">
        <f>RDG!G61</f>
        <v>178</v>
      </c>
      <c r="G179" s="4">
        <f>IF(RDG!H61=0,"",RDG!H61)</f>
      </c>
      <c r="H179" s="30">
        <f t="shared" si="6"/>
        <v>557022372.26</v>
      </c>
      <c r="I179" s="4">
        <f t="shared" si="7"/>
        <v>0</v>
      </c>
      <c r="J179" s="31">
        <f>RDG!I61</f>
        <v>115141053</v>
      </c>
      <c r="K179" s="31">
        <f>RDG!J61</f>
        <v>98896432</v>
      </c>
    </row>
    <row r="180" spans="4:11" ht="12.75">
      <c r="D180" s="4" t="s">
        <v>541</v>
      </c>
      <c r="E180" s="4">
        <v>2</v>
      </c>
      <c r="F180" s="4">
        <f>RDG!G62</f>
        <v>179</v>
      </c>
      <c r="G180" s="4">
        <f>IF(RDG!H62=0,"",RDG!H62)</f>
      </c>
      <c r="H180" s="30">
        <f t="shared" si="6"/>
        <v>-30636551.68</v>
      </c>
      <c r="I180" s="4">
        <f t="shared" si="7"/>
        <v>0</v>
      </c>
      <c r="J180" s="31">
        <f>RDG!I62</f>
        <v>5378514</v>
      </c>
      <c r="K180" s="31">
        <f>RDG!J62</f>
        <v>-11246953</v>
      </c>
    </row>
    <row r="181" spans="4:11" ht="12.75">
      <c r="D181" s="4" t="s">
        <v>541</v>
      </c>
      <c r="E181" s="4">
        <v>2</v>
      </c>
      <c r="F181" s="4">
        <f>RDG!G63</f>
        <v>180</v>
      </c>
      <c r="G181" s="4">
        <f>IF(RDG!H63=0,"",RDG!H63)</f>
      </c>
      <c r="H181" s="30">
        <f t="shared" si="6"/>
        <v>9681325.2</v>
      </c>
      <c r="I181" s="4">
        <f t="shared" si="7"/>
        <v>0</v>
      </c>
      <c r="J181" s="31">
        <f>RDG!I63</f>
        <v>5378514</v>
      </c>
      <c r="K181" s="31">
        <f>RDG!J63</f>
        <v>0</v>
      </c>
    </row>
    <row r="182" spans="4:11" ht="12.75">
      <c r="D182" s="4" t="s">
        <v>541</v>
      </c>
      <c r="E182" s="4">
        <v>2</v>
      </c>
      <c r="F182" s="4">
        <f>RDG!G64</f>
        <v>181</v>
      </c>
      <c r="G182" s="4">
        <f>IF(RDG!H64=0,"",RDG!H64)</f>
      </c>
      <c r="H182" s="30">
        <f t="shared" si="6"/>
        <v>40713969.86</v>
      </c>
      <c r="I182" s="4">
        <f t="shared" si="7"/>
        <v>0</v>
      </c>
      <c r="J182" s="31">
        <f>RDG!I64</f>
        <v>0</v>
      </c>
      <c r="K182" s="31">
        <f>RDG!J64</f>
        <v>11246953</v>
      </c>
    </row>
    <row r="183" spans="4:11" ht="12.75">
      <c r="D183" s="4" t="s">
        <v>541</v>
      </c>
      <c r="E183" s="4">
        <v>2</v>
      </c>
      <c r="F183" s="4">
        <f>RDG!G65</f>
        <v>182</v>
      </c>
      <c r="G183" s="4">
        <f>IF(RDG!H65=0,"",RDG!H65)</f>
      </c>
      <c r="H183" s="30">
        <f t="shared" si="6"/>
        <v>-8740462.639999999</v>
      </c>
      <c r="I183" s="4">
        <f t="shared" si="7"/>
        <v>0</v>
      </c>
      <c r="J183" s="31">
        <f>RDG!I65</f>
        <v>0</v>
      </c>
      <c r="K183" s="31">
        <f>RDG!J65</f>
        <v>-2401226</v>
      </c>
    </row>
    <row r="184" spans="4:11" ht="12.75">
      <c r="D184" s="4" t="s">
        <v>541</v>
      </c>
      <c r="E184" s="4">
        <v>2</v>
      </c>
      <c r="F184" s="4">
        <f>RDG!G66</f>
        <v>183</v>
      </c>
      <c r="G184" s="4">
        <f>IF(RDG!H66=0,"",RDG!H66)</f>
      </c>
      <c r="H184" s="30">
        <f t="shared" si="6"/>
        <v>-22532680.200000003</v>
      </c>
      <c r="I184" s="4">
        <f t="shared" si="7"/>
        <v>0</v>
      </c>
      <c r="J184" s="31">
        <f>RDG!I66</f>
        <v>5378514</v>
      </c>
      <c r="K184" s="31">
        <f>RDG!J66</f>
        <v>-8845727</v>
      </c>
    </row>
    <row r="185" spans="4:11" ht="12.75">
      <c r="D185" s="4" t="s">
        <v>541</v>
      </c>
      <c r="E185" s="4">
        <v>2</v>
      </c>
      <c r="F185" s="4">
        <f>RDG!G67</f>
        <v>184</v>
      </c>
      <c r="G185" s="4">
        <f>IF(RDG!H67=0,"",RDG!H67)</f>
      </c>
      <c r="H185" s="30">
        <f t="shared" si="6"/>
        <v>9896465.76</v>
      </c>
      <c r="I185" s="4">
        <f t="shared" si="7"/>
        <v>0</v>
      </c>
      <c r="J185" s="31">
        <f>RDG!I67</f>
        <v>5378514</v>
      </c>
      <c r="K185" s="31">
        <f>RDG!J67</f>
        <v>0</v>
      </c>
    </row>
    <row r="186" spans="4:11" ht="12.75">
      <c r="D186" s="4" t="s">
        <v>541</v>
      </c>
      <c r="E186" s="4">
        <v>2</v>
      </c>
      <c r="F186" s="4">
        <f>RDG!G68</f>
        <v>185</v>
      </c>
      <c r="G186" s="4">
        <f>IF(RDG!H68=0,"",RDG!H68)</f>
      </c>
      <c r="H186" s="30">
        <f t="shared" si="6"/>
        <v>32729189.900000002</v>
      </c>
      <c r="I186" s="4">
        <f t="shared" si="7"/>
        <v>0</v>
      </c>
      <c r="J186" s="31">
        <f>RDG!I68</f>
        <v>0</v>
      </c>
      <c r="K186" s="31">
        <f>RDG!J68</f>
        <v>8845727</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253347.59999999998</v>
      </c>
      <c r="I221" s="4">
        <f aca="true" t="shared" si="11" ref="I221:I274">ABS(ROUND(J221,0)-J221)+ABS(ROUND(K221,0)-K221)</f>
        <v>0</v>
      </c>
      <c r="J221" s="31">
        <f>Dodatni!I11</f>
        <v>38386</v>
      </c>
      <c r="K221" s="31">
        <f>Dodatni!J11</f>
        <v>38386</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104486823</v>
      </c>
      <c r="I226" s="4">
        <f t="shared" si="11"/>
        <v>0</v>
      </c>
      <c r="J226" s="31">
        <f>Dodatni!I17</f>
        <v>0</v>
      </c>
      <c r="K226" s="31">
        <f>Dodatni!J17</f>
        <v>23219294</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58932191.86</v>
      </c>
      <c r="I228" s="4">
        <f t="shared" si="11"/>
        <v>0</v>
      </c>
      <c r="J228" s="31">
        <f>Dodatni!I19</f>
        <v>0</v>
      </c>
      <c r="K228" s="31">
        <f>Dodatni!J19</f>
        <v>12980659</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81440642.5</v>
      </c>
      <c r="I231" s="4">
        <f t="shared" si="11"/>
        <v>0</v>
      </c>
      <c r="J231" s="31">
        <f>Dodatni!I23</f>
        <v>13093559</v>
      </c>
      <c r="K231" s="31">
        <f>Dodatni!J23</f>
        <v>11157708</v>
      </c>
    </row>
    <row r="232" spans="4:11" ht="12.75">
      <c r="D232" s="4" t="s">
        <v>1522</v>
      </c>
      <c r="E232" s="4">
        <v>3</v>
      </c>
      <c r="F232" s="4">
        <f>Dodatni!H25</f>
        <v>231</v>
      </c>
      <c r="H232" s="30">
        <f t="shared" si="10"/>
        <v>659957362.6800001</v>
      </c>
      <c r="I232" s="4">
        <f t="shared" si="11"/>
        <v>0</v>
      </c>
      <c r="J232" s="31">
        <f>Dodatni!I25</f>
        <v>118701080</v>
      </c>
      <c r="K232" s="31">
        <f>Dodatni!J25</f>
        <v>83497374</v>
      </c>
    </row>
    <row r="233" spans="4:11" ht="12.75">
      <c r="D233" s="4" t="s">
        <v>1522</v>
      </c>
      <c r="E233" s="4">
        <v>3</v>
      </c>
      <c r="F233" s="4">
        <f>Dodatni!H26</f>
        <v>232</v>
      </c>
      <c r="H233" s="30">
        <f t="shared" si="10"/>
        <v>1885501.12</v>
      </c>
      <c r="I233" s="4">
        <f t="shared" si="11"/>
        <v>0</v>
      </c>
      <c r="J233" s="31">
        <f>Dodatni!I26</f>
        <v>140162</v>
      </c>
      <c r="K233" s="31">
        <f>Dodatni!J26</f>
        <v>336277</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528518857.24</v>
      </c>
      <c r="I243" s="4">
        <f t="shared" si="11"/>
        <v>0</v>
      </c>
      <c r="J243" s="31">
        <f>Dodatni!I37</f>
        <v>94789044</v>
      </c>
      <c r="K243" s="31">
        <f>Dodatni!J37</f>
        <v>61803589</v>
      </c>
    </row>
    <row r="244" spans="4:11" ht="12.75">
      <c r="D244" s="4" t="s">
        <v>1522</v>
      </c>
      <c r="E244" s="4">
        <v>3</v>
      </c>
      <c r="F244" s="4">
        <f>Dodatni!H38</f>
        <v>243</v>
      </c>
      <c r="H244" s="30">
        <f t="shared" si="10"/>
        <v>165512942.45999998</v>
      </c>
      <c r="I244" s="4">
        <f t="shared" si="11"/>
        <v>0</v>
      </c>
      <c r="J244" s="31">
        <f>Dodatni!I38</f>
        <v>24052198</v>
      </c>
      <c r="K244" s="31">
        <f>Dodatni!J38</f>
        <v>22030062</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16346348.22</v>
      </c>
      <c r="I247" s="4">
        <f t="shared" si="11"/>
        <v>0</v>
      </c>
      <c r="J247" s="31">
        <f>Dodatni!I43</f>
        <v>838853</v>
      </c>
      <c r="K247" s="31">
        <f>Dodatni!J43</f>
        <v>2903002</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16410144.24</v>
      </c>
      <c r="I253" s="4">
        <f t="shared" si="11"/>
        <v>0</v>
      </c>
      <c r="J253" s="31">
        <f>Dodatni!I50</f>
        <v>2937530</v>
      </c>
      <c r="K253" s="31">
        <f>Dodatni!J50</f>
        <v>1787216</v>
      </c>
    </row>
    <row r="254" spans="4:11" ht="12.75">
      <c r="D254" s="4" t="s">
        <v>1522</v>
      </c>
      <c r="E254" s="4">
        <v>3</v>
      </c>
      <c r="F254" s="4">
        <f>Dodatni!H51</f>
        <v>253</v>
      </c>
      <c r="H254" s="30">
        <f t="shared" si="10"/>
        <v>704906.0700000001</v>
      </c>
      <c r="I254" s="4">
        <f t="shared" si="11"/>
        <v>0</v>
      </c>
      <c r="J254" s="31">
        <f>Dodatni!I51</f>
        <v>98297</v>
      </c>
      <c r="K254" s="31">
        <f>Dodatni!J51</f>
        <v>90161</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1329187.6</v>
      </c>
      <c r="I261" s="4">
        <f t="shared" si="11"/>
        <v>0</v>
      </c>
      <c r="J261" s="31">
        <f>Dodatni!I58</f>
        <v>505350</v>
      </c>
      <c r="K261" s="31">
        <f>Dodatni!J58</f>
        <v>2938</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2843378.58</v>
      </c>
      <c r="I263" s="4">
        <f t="shared" si="11"/>
        <v>0</v>
      </c>
      <c r="J263" s="31">
        <f>Dodatni!I60</f>
        <v>330123</v>
      </c>
      <c r="K263" s="31">
        <f>Dodatni!J60</f>
        <v>377568</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130946.64</v>
      </c>
      <c r="I265" s="4">
        <f t="shared" si="11"/>
        <v>0</v>
      </c>
      <c r="J265" s="31">
        <f>Dodatni!I62</f>
        <v>12181</v>
      </c>
      <c r="K265" s="31">
        <f>Dodatni!J62</f>
        <v>18710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6304115.64</v>
      </c>
      <c r="I268" s="4">
        <f t="shared" si="11"/>
        <v>0</v>
      </c>
      <c r="J268" s="31">
        <f>Dodatni!I65</f>
        <v>959616</v>
      </c>
      <c r="K268" s="31">
        <f>Dodatni!J65</f>
        <v>700738</v>
      </c>
    </row>
    <row r="269" spans="4:11" ht="12.75">
      <c r="D269" s="4" t="s">
        <v>1522</v>
      </c>
      <c r="E269" s="4">
        <v>3</v>
      </c>
      <c r="F269" s="4">
        <f>Dodatni!H66</f>
        <v>268</v>
      </c>
      <c r="H269" s="30">
        <f t="shared" si="10"/>
        <v>21440</v>
      </c>
      <c r="I269" s="4">
        <f t="shared" si="11"/>
        <v>0</v>
      </c>
      <c r="J269" s="31">
        <f>Dodatni!I66</f>
        <v>8000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163125.9</v>
      </c>
      <c r="I275" s="4">
        <f aca="true" t="shared" si="13" ref="I275:I284">ABS(ROUND(J275,0)-J275)+ABS(ROUND(K275,0)-K275)</f>
        <v>0</v>
      </c>
      <c r="J275" s="31">
        <f>Dodatni!I73</f>
        <v>895</v>
      </c>
      <c r="K275" s="31">
        <f>Dodatni!J73</f>
        <v>29320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12632859.23</v>
      </c>
      <c r="I278" s="4">
        <f t="shared" si="13"/>
        <v>0</v>
      </c>
      <c r="J278" s="31">
        <f>Dodatni!I76</f>
        <v>1743727</v>
      </c>
      <c r="K278" s="31">
        <f>Dodatni!J76</f>
        <v>1408436</v>
      </c>
    </row>
    <row r="279" spans="4:11" ht="12.75">
      <c r="D279" s="4" t="s">
        <v>1522</v>
      </c>
      <c r="E279" s="4">
        <v>3</v>
      </c>
      <c r="F279" s="4">
        <f>Dodatni!H78</f>
        <v>278</v>
      </c>
      <c r="H279" s="30">
        <f t="shared" si="12"/>
        <v>30030002.02</v>
      </c>
      <c r="I279" s="4">
        <f t="shared" si="13"/>
        <v>0</v>
      </c>
      <c r="J279" s="31">
        <f>Dodatni!I78</f>
        <v>3467147</v>
      </c>
      <c r="K279" s="31">
        <f>Dodatni!J78</f>
        <v>3667506</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21580535.2</v>
      </c>
      <c r="I281" s="4">
        <f t="shared" si="13"/>
        <v>0</v>
      </c>
      <c r="J281" s="31">
        <f>Dodatni!I80</f>
        <v>372322</v>
      </c>
      <c r="K281" s="31">
        <f>Dodatni!J80</f>
        <v>3667506</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8727406.5</v>
      </c>
      <c r="I283" s="4">
        <f t="shared" si="13"/>
        <v>0</v>
      </c>
      <c r="J283" s="31">
        <f>Dodatni!I82</f>
        <v>3094825</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-171153.91999999998</v>
      </c>
      <c r="I289" s="4">
        <f t="shared" si="15"/>
        <v>0</v>
      </c>
      <c r="J289" s="31">
        <f>NT_I!I9</f>
        <v>5378514</v>
      </c>
      <c r="K289" s="31">
        <f>NT_I!J9</f>
        <v>-11246953</v>
      </c>
    </row>
    <row r="290" spans="4:11" ht="12.75">
      <c r="D290" s="4" t="s">
        <v>1523</v>
      </c>
      <c r="E290" s="4">
        <v>4</v>
      </c>
      <c r="F290" s="4">
        <f>NT_I!G10</f>
        <v>2</v>
      </c>
      <c r="G290" s="4">
        <f>IF(NT_I!H10&lt;&gt;"",NT_I!H10,"")</f>
      </c>
      <c r="H290" s="30">
        <f t="shared" si="14"/>
        <v>643903.5</v>
      </c>
      <c r="I290" s="4">
        <f t="shared" si="15"/>
        <v>0</v>
      </c>
      <c r="J290" s="31">
        <f>NT_I!I10</f>
        <v>10287229</v>
      </c>
      <c r="K290" s="31">
        <f>NT_I!J10</f>
        <v>10953973</v>
      </c>
    </row>
    <row r="291" spans="4:11" ht="12.75">
      <c r="D291" s="4" t="s">
        <v>1523</v>
      </c>
      <c r="E291" s="4">
        <v>4</v>
      </c>
      <c r="F291" s="4">
        <f>NT_I!G11</f>
        <v>3</v>
      </c>
      <c r="G291" s="4">
        <f>IF(NT_I!H11&lt;&gt;"",NT_I!H11,"")</f>
      </c>
      <c r="H291" s="30">
        <f t="shared" si="14"/>
        <v>667698.1799999999</v>
      </c>
      <c r="I291" s="4">
        <f t="shared" si="15"/>
        <v>0</v>
      </c>
      <c r="J291" s="31">
        <f>NT_I!I11</f>
        <v>7682588</v>
      </c>
      <c r="K291" s="31">
        <f>NT_I!J11</f>
        <v>7287009</v>
      </c>
    </row>
    <row r="292" spans="4:11" ht="12.75">
      <c r="D292" s="4" t="s">
        <v>1523</v>
      </c>
      <c r="E292" s="4">
        <v>4</v>
      </c>
      <c r="F292" s="4">
        <f>NT_I!G12</f>
        <v>4</v>
      </c>
      <c r="G292" s="4">
        <f>IF(NT_I!H12&lt;&gt;"",NT_I!H12,"")</f>
      </c>
      <c r="H292" s="30">
        <f aca="true" t="shared" si="16" ref="H292:H330">J292/100*F292+2*K292/100*F292</f>
        <v>-10041.12</v>
      </c>
      <c r="I292" s="4">
        <f aca="true" t="shared" si="17" ref="I292:I330">ABS(ROUND(J292,0)-J292)+ABS(ROUND(K292,0)-K292)</f>
        <v>0</v>
      </c>
      <c r="J292" s="31">
        <f>NT_I!I12</f>
        <v>0</v>
      </c>
      <c r="K292" s="31">
        <f>NT_I!J12</f>
        <v>-125514</v>
      </c>
    </row>
    <row r="293" spans="4:11" ht="12.75">
      <c r="D293" s="4" t="s">
        <v>1523</v>
      </c>
      <c r="E293" s="4">
        <v>4</v>
      </c>
      <c r="F293" s="4">
        <f>NT_I!G13</f>
        <v>5</v>
      </c>
      <c r="G293" s="4">
        <f>IF(NT_I!H13&lt;&gt;"",NT_I!H13,"")</f>
      </c>
      <c r="H293" s="30">
        <f t="shared" si="16"/>
        <v>198160.35</v>
      </c>
      <c r="I293" s="4">
        <f t="shared" si="17"/>
        <v>0</v>
      </c>
      <c r="J293" s="31">
        <f>NT_I!I13</f>
        <v>396747</v>
      </c>
      <c r="K293" s="31">
        <f>NT_I!J13</f>
        <v>1783230</v>
      </c>
    </row>
    <row r="294" spans="4:11" ht="12.75">
      <c r="D294" s="4" t="s">
        <v>1523</v>
      </c>
      <c r="E294" s="4">
        <v>4</v>
      </c>
      <c r="F294" s="4">
        <f>NT_I!G14</f>
        <v>6</v>
      </c>
      <c r="G294" s="4">
        <f>IF(NT_I!H14&lt;&gt;"",NT_I!H14,"")</f>
      </c>
      <c r="H294" s="30">
        <f t="shared" si="16"/>
        <v>-3572.0999999999995</v>
      </c>
      <c r="I294" s="4">
        <f t="shared" si="17"/>
        <v>0</v>
      </c>
      <c r="J294" s="31">
        <f>NT_I!I14</f>
        <v>-895</v>
      </c>
      <c r="K294" s="31">
        <f>NT_I!J14</f>
        <v>-29320</v>
      </c>
    </row>
    <row r="295" spans="4:11" ht="12.75">
      <c r="D295" s="4" t="s">
        <v>1523</v>
      </c>
      <c r="E295" s="4">
        <v>4</v>
      </c>
      <c r="F295" s="4">
        <f>NT_I!G15</f>
        <v>7</v>
      </c>
      <c r="G295" s="4">
        <f>IF(NT_I!H15&lt;&gt;"",NT_I!H15,"")</f>
      </c>
      <c r="H295" s="30">
        <f t="shared" si="16"/>
        <v>403524.94</v>
      </c>
      <c r="I295" s="4">
        <f t="shared" si="17"/>
        <v>0</v>
      </c>
      <c r="J295" s="31">
        <f>NT_I!I15</f>
        <v>2189442</v>
      </c>
      <c r="K295" s="31">
        <f>NT_I!J15</f>
        <v>1787600</v>
      </c>
    </row>
    <row r="296" spans="4:11" ht="12.75">
      <c r="D296" s="4" t="s">
        <v>1523</v>
      </c>
      <c r="E296" s="4">
        <v>4</v>
      </c>
      <c r="F296" s="4">
        <f>NT_I!G16</f>
        <v>8</v>
      </c>
      <c r="G296" s="4">
        <f>IF(NT_I!H16&lt;&gt;"",NT_I!H16,"")</f>
      </c>
      <c r="H296" s="30">
        <f t="shared" si="16"/>
        <v>240</v>
      </c>
      <c r="I296" s="4">
        <f t="shared" si="17"/>
        <v>0</v>
      </c>
      <c r="J296" s="31">
        <f>NT_I!I16</f>
        <v>0</v>
      </c>
      <c r="K296" s="31">
        <f>NT_I!J16</f>
        <v>1500</v>
      </c>
    </row>
    <row r="297" spans="4:11" ht="12.75">
      <c r="D297" s="4" t="s">
        <v>1523</v>
      </c>
      <c r="E297" s="4">
        <v>4</v>
      </c>
      <c r="F297" s="4">
        <f>NT_I!G17</f>
        <v>9</v>
      </c>
      <c r="G297" s="4">
        <f>IF(NT_I!H17&lt;&gt;"",NT_I!H17,"")</f>
      </c>
      <c r="H297" s="30">
        <f t="shared" si="16"/>
        <v>46645.47</v>
      </c>
      <c r="I297" s="4">
        <f t="shared" si="17"/>
        <v>0</v>
      </c>
      <c r="J297" s="31">
        <f>NT_I!I17</f>
        <v>19347</v>
      </c>
      <c r="K297" s="31">
        <f>NT_I!J17</f>
        <v>249468</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1658776.13</v>
      </c>
      <c r="I299" s="4">
        <f t="shared" si="17"/>
        <v>0</v>
      </c>
      <c r="J299" s="31">
        <f>NT_I!I19</f>
        <v>15665743</v>
      </c>
      <c r="K299" s="31">
        <f>NT_I!J19</f>
        <v>-292980</v>
      </c>
    </row>
    <row r="300" spans="4:11" ht="12.75">
      <c r="D300" s="4" t="s">
        <v>1523</v>
      </c>
      <c r="E300" s="4">
        <v>4</v>
      </c>
      <c r="F300" s="4">
        <f>NT_I!G20</f>
        <v>12</v>
      </c>
      <c r="G300" s="4">
        <f>IF(NT_I!H20&lt;&gt;"",NT_I!H20,"")</f>
      </c>
      <c r="H300" s="30">
        <f t="shared" si="16"/>
        <v>1682537.1599999997</v>
      </c>
      <c r="I300" s="4">
        <f t="shared" si="17"/>
        <v>0</v>
      </c>
      <c r="J300" s="31">
        <f>NT_I!I20</f>
        <v>-2279547</v>
      </c>
      <c r="K300" s="31">
        <f>NT_I!J20</f>
        <v>8150345</v>
      </c>
    </row>
    <row r="301" spans="4:11" ht="12.75">
      <c r="D301" s="4" t="s">
        <v>1523</v>
      </c>
      <c r="E301" s="4">
        <v>4</v>
      </c>
      <c r="F301" s="4">
        <f>NT_I!G21</f>
        <v>13</v>
      </c>
      <c r="G301" s="4">
        <f>IF(NT_I!H21&lt;&gt;"",NT_I!H21,"")</f>
      </c>
      <c r="H301" s="30">
        <f t="shared" si="16"/>
        <v>-1785107.09</v>
      </c>
      <c r="I301" s="4">
        <f t="shared" si="17"/>
        <v>0</v>
      </c>
      <c r="J301" s="31">
        <f>NT_I!I21</f>
        <v>3444569</v>
      </c>
      <c r="K301" s="31">
        <f>NT_I!J21</f>
        <v>-8588081</v>
      </c>
    </row>
    <row r="302" spans="4:11" ht="12.75">
      <c r="D302" s="4" t="s">
        <v>1523</v>
      </c>
      <c r="E302" s="4">
        <v>4</v>
      </c>
      <c r="F302" s="4">
        <f>NT_I!G22</f>
        <v>14</v>
      </c>
      <c r="G302" s="4">
        <f>IF(NT_I!H22&lt;&gt;"",NT_I!H22,"")</f>
      </c>
      <c r="H302" s="30">
        <f t="shared" si="16"/>
        <v>2417387.7</v>
      </c>
      <c r="I302" s="4">
        <f t="shared" si="17"/>
        <v>0</v>
      </c>
      <c r="J302" s="31">
        <f>NT_I!I22</f>
        <v>-5286591</v>
      </c>
      <c r="K302" s="31">
        <f>NT_I!J22</f>
        <v>11276823</v>
      </c>
    </row>
    <row r="303" spans="4:11" ht="12.75">
      <c r="D303" s="4" t="s">
        <v>1523</v>
      </c>
      <c r="E303" s="4">
        <v>4</v>
      </c>
      <c r="F303" s="4">
        <f>NT_I!G23</f>
        <v>15</v>
      </c>
      <c r="G303" s="4">
        <f>IF(NT_I!H23&lt;&gt;"",NT_I!H23,"")</f>
      </c>
      <c r="H303" s="30">
        <f t="shared" si="16"/>
        <v>1572852.15</v>
      </c>
      <c r="I303" s="4">
        <f t="shared" si="17"/>
        <v>0</v>
      </c>
      <c r="J303" s="31">
        <f>NT_I!I23</f>
        <v>-437525</v>
      </c>
      <c r="K303" s="31">
        <f>NT_I!J23</f>
        <v>5461603</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4947157.42</v>
      </c>
      <c r="I305" s="4">
        <f t="shared" si="17"/>
        <v>0</v>
      </c>
      <c r="J305" s="31">
        <f>NT_I!I25</f>
        <v>13386196</v>
      </c>
      <c r="K305" s="31">
        <f>NT_I!J25</f>
        <v>7857365</v>
      </c>
    </row>
    <row r="306" spans="4:11" ht="12.75">
      <c r="D306" s="4" t="s">
        <v>1523</v>
      </c>
      <c r="E306" s="4">
        <v>4</v>
      </c>
      <c r="F306" s="4">
        <f>NT_I!G26</f>
        <v>18</v>
      </c>
      <c r="G306" s="4">
        <f>IF(NT_I!H26&lt;&gt;"",NT_I!H26,"")</f>
      </c>
      <c r="H306" s="30">
        <f t="shared" si="16"/>
        <v>-1037635.5599999999</v>
      </c>
      <c r="I306" s="4">
        <f t="shared" si="17"/>
        <v>0</v>
      </c>
      <c r="J306" s="31">
        <f>NT_I!I26</f>
        <v>-2189442</v>
      </c>
      <c r="K306" s="31">
        <f>NT_I!J26</f>
        <v>-1787600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4667256.8</v>
      </c>
      <c r="I308" s="4">
        <f t="shared" si="17"/>
        <v>0</v>
      </c>
      <c r="J308" s="31">
        <f>NT_I!I28</f>
        <v>11196754</v>
      </c>
      <c r="K308" s="31">
        <f>NT_I!J28</f>
        <v>6069765</v>
      </c>
    </row>
    <row r="309" spans="4:11" ht="12.75">
      <c r="D309" s="4" t="s">
        <v>1523</v>
      </c>
      <c r="E309" s="4">
        <v>4</v>
      </c>
      <c r="F309" s="4">
        <f>NT_I!G30</f>
        <v>21</v>
      </c>
      <c r="G309" s="4">
        <f>IF(NT_I!H30&lt;&gt;"",NT_I!H30,"")</f>
      </c>
      <c r="H309" s="30">
        <f t="shared" si="16"/>
        <v>778941.24</v>
      </c>
      <c r="I309" s="4">
        <f t="shared" si="17"/>
        <v>0</v>
      </c>
      <c r="J309" s="31">
        <f>NT_I!I30</f>
        <v>0</v>
      </c>
      <c r="K309" s="31">
        <f>NT_I!J30</f>
        <v>1854622</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13693.05</v>
      </c>
      <c r="I311" s="4">
        <f t="shared" si="17"/>
        <v>0</v>
      </c>
      <c r="J311" s="31">
        <f>NT_I!I32</f>
        <v>895</v>
      </c>
      <c r="K311" s="31">
        <f>NT_I!J32</f>
        <v>29320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1017570.33</v>
      </c>
      <c r="I315" s="4">
        <f t="shared" si="17"/>
        <v>0</v>
      </c>
      <c r="J315" s="31">
        <f>NT_I!I36</f>
        <v>895</v>
      </c>
      <c r="K315" s="31">
        <f>NT_I!J36</f>
        <v>1883942</v>
      </c>
    </row>
    <row r="316" spans="4:11" ht="12.75">
      <c r="D316" s="4" t="s">
        <v>1523</v>
      </c>
      <c r="E316" s="4">
        <v>4</v>
      </c>
      <c r="F316" s="4">
        <f>NT_I!G37</f>
        <v>28</v>
      </c>
      <c r="G316" s="4">
        <f>IF(NT_I!H37&lt;&gt;"",NT_I!H37,"")</f>
      </c>
      <c r="H316" s="30">
        <f t="shared" si="16"/>
        <v>-245080.08000000002</v>
      </c>
      <c r="I316" s="4">
        <f t="shared" si="17"/>
        <v>0</v>
      </c>
      <c r="J316" s="31">
        <f>NT_I!I37</f>
        <v>-372322</v>
      </c>
      <c r="K316" s="31">
        <f>NT_I!J37</f>
        <v>-251482</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-288844.38</v>
      </c>
      <c r="I321" s="4">
        <f t="shared" si="17"/>
        <v>0</v>
      </c>
      <c r="J321" s="31">
        <f>NT_I!I42</f>
        <v>-372322</v>
      </c>
      <c r="K321" s="31">
        <f>NT_I!J42</f>
        <v>-251482</v>
      </c>
    </row>
    <row r="322" spans="4:11" ht="12.75">
      <c r="D322" s="4" t="s">
        <v>1523</v>
      </c>
      <c r="E322" s="4">
        <v>4</v>
      </c>
      <c r="F322" s="4">
        <f>NT_I!G43</f>
        <v>34</v>
      </c>
      <c r="G322" s="4">
        <f>IF(NT_I!H43&lt;&gt;"",NT_I!H43,"")</f>
      </c>
      <c r="H322" s="30">
        <f t="shared" si="16"/>
        <v>983787.6200000001</v>
      </c>
      <c r="I322" s="4">
        <f t="shared" si="17"/>
        <v>0</v>
      </c>
      <c r="J322" s="31">
        <f>NT_I!I43</f>
        <v>-371427</v>
      </c>
      <c r="K322" s="31">
        <f>NT_I!J43</f>
        <v>1632460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370000</v>
      </c>
      <c r="I325" s="4">
        <f t="shared" si="17"/>
        <v>0</v>
      </c>
      <c r="J325" s="31">
        <f>NT_I!I47</f>
        <v>1000000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390000</v>
      </c>
      <c r="I327" s="4">
        <f t="shared" si="17"/>
        <v>0</v>
      </c>
      <c r="J327" s="31">
        <f>NT_I!I49</f>
        <v>1000000</v>
      </c>
      <c r="K327" s="31">
        <f>NT_I!J49</f>
        <v>0</v>
      </c>
    </row>
    <row r="328" spans="4:11" ht="12.75">
      <c r="D328" s="4" t="s">
        <v>1523</v>
      </c>
      <c r="E328" s="4">
        <v>4</v>
      </c>
      <c r="F328" s="4">
        <f>NT_I!G50</f>
        <v>40</v>
      </c>
      <c r="G328" s="4">
        <f>IF(NT_I!H50&lt;&gt;"",NT_I!H50,"")</f>
      </c>
      <c r="H328" s="30">
        <f t="shared" si="16"/>
        <v>-9315867.6</v>
      </c>
      <c r="I328" s="4">
        <f t="shared" si="17"/>
        <v>0</v>
      </c>
      <c r="J328" s="31">
        <f>NT_I!I50</f>
        <v>-10524715</v>
      </c>
      <c r="K328" s="31">
        <f>NT_I!J50</f>
        <v>-6382477</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-2469151.44</v>
      </c>
      <c r="I330" s="4">
        <f t="shared" si="17"/>
        <v>0</v>
      </c>
      <c r="J330" s="31">
        <f>NT_I!I52</f>
        <v>-1170306</v>
      </c>
      <c r="K330" s="31">
        <f>NT_I!J52</f>
        <v>-2354313</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-13125870.45</v>
      </c>
      <c r="I333" s="4">
        <f t="shared" si="19"/>
        <v>0</v>
      </c>
      <c r="J333" s="31">
        <f>NT_I!I55</f>
        <v>-11695021</v>
      </c>
      <c r="K333" s="31">
        <f>NT_I!J55</f>
        <v>-8736790</v>
      </c>
    </row>
    <row r="334" spans="4:11" ht="12.75">
      <c r="D334" s="4" t="s">
        <v>1523</v>
      </c>
      <c r="E334" s="4">
        <v>4</v>
      </c>
      <c r="F334" s="4">
        <f>NT_I!G56</f>
        <v>46</v>
      </c>
      <c r="G334" s="4">
        <f>IF(NT_I!H56&lt;&gt;"",NT_I!H56,"")</f>
      </c>
      <c r="H334" s="30">
        <f t="shared" si="18"/>
        <v>-12957556.46</v>
      </c>
      <c r="I334" s="4">
        <f t="shared" si="19"/>
        <v>0</v>
      </c>
      <c r="J334" s="31">
        <f>NT_I!I56</f>
        <v>-10695021</v>
      </c>
      <c r="K334" s="31">
        <f>NT_I!J56</f>
        <v>-8736790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-930635.5199999999</v>
      </c>
      <c r="I336" s="4">
        <f t="shared" si="19"/>
        <v>0</v>
      </c>
      <c r="J336" s="31">
        <f>NT_I!I58</f>
        <v>130306</v>
      </c>
      <c r="K336" s="31">
        <f>NT_I!J58</f>
        <v>-1034565</v>
      </c>
    </row>
    <row r="337" spans="4:11" ht="12.75">
      <c r="D337" s="4" t="s">
        <v>1523</v>
      </c>
      <c r="E337" s="4">
        <v>4</v>
      </c>
      <c r="F337" s="4">
        <f>NT_I!G59</f>
        <v>49</v>
      </c>
      <c r="G337" s="4">
        <f>IF(NT_I!H59&lt;&gt;"",NT_I!H59,"")</f>
      </c>
      <c r="H337" s="30">
        <f t="shared" si="18"/>
        <v>1492475.81</v>
      </c>
      <c r="I337" s="4">
        <f t="shared" si="19"/>
        <v>0</v>
      </c>
      <c r="J337" s="31">
        <f>NT_I!I59</f>
        <v>928419</v>
      </c>
      <c r="K337" s="31">
        <f>NT_I!J59</f>
        <v>1058725</v>
      </c>
    </row>
    <row r="338" spans="4:11" ht="12.75">
      <c r="D338" s="4" t="s">
        <v>1523</v>
      </c>
      <c r="E338" s="4">
        <v>4</v>
      </c>
      <c r="F338" s="4">
        <f>NT_I!G60</f>
        <v>50</v>
      </c>
      <c r="G338" s="4">
        <f>IF(NT_I!H60&lt;&gt;"",NT_I!H60,"")</f>
      </c>
      <c r="H338" s="30">
        <f t="shared" si="18"/>
        <v>553522.5</v>
      </c>
      <c r="I338" s="4">
        <f t="shared" si="19"/>
        <v>0</v>
      </c>
      <c r="J338" s="31">
        <f>NT_I!I60</f>
        <v>1058725</v>
      </c>
      <c r="K338" s="31">
        <f>NT_I!J60</f>
        <v>24160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25520491.96</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99918350</v>
      </c>
      <c r="K381" s="31">
        <f>PK!J10</f>
        <v>36199953</v>
      </c>
      <c r="L381" s="31">
        <f>PK!K10</f>
        <v>0</v>
      </c>
      <c r="M381" s="31">
        <f>PK!L10</f>
        <v>0</v>
      </c>
      <c r="N381" s="31">
        <f>PK!M10</f>
        <v>0</v>
      </c>
      <c r="O381" s="31">
        <f>PK!N10</f>
        <v>0</v>
      </c>
      <c r="P381" s="31">
        <f>PK!O10</f>
        <v>0</v>
      </c>
      <c r="Q381" s="31">
        <f>PK!P10</f>
        <v>0</v>
      </c>
      <c r="R381" s="31">
        <f>PK!Q10</f>
        <v>0</v>
      </c>
      <c r="S381" s="31">
        <f>PK!R10</f>
        <v>0</v>
      </c>
      <c r="T381" s="31">
        <f>PK!S10</f>
        <v>0</v>
      </c>
      <c r="U381" s="31">
        <f>PK!T10</f>
        <v>-59753879</v>
      </c>
      <c r="V381" s="31">
        <f>PK!U10</f>
        <v>18740576</v>
      </c>
      <c r="W381" s="31">
        <f>PK!V10</f>
        <v>95105000</v>
      </c>
      <c r="X381" s="31">
        <f>PK!W10</f>
        <v>0</v>
      </c>
      <c r="Y381" s="31">
        <f>PK!X10</f>
        <v>95105000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-17596243.200000003</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-36199953</v>
      </c>
      <c r="L383" s="31">
        <f>PK!K12</f>
        <v>0</v>
      </c>
      <c r="M383" s="31">
        <f>PK!L12</f>
        <v>0</v>
      </c>
      <c r="N383" s="31">
        <f>PK!M12</f>
        <v>0</v>
      </c>
      <c r="O383" s="31">
        <f>PK!N12</f>
        <v>0</v>
      </c>
      <c r="P383" s="31">
        <f>PK!O12</f>
        <v>0</v>
      </c>
      <c r="Q383" s="31">
        <f>PK!P12</f>
        <v>0</v>
      </c>
      <c r="R383" s="31">
        <f>PK!Q12</f>
        <v>0</v>
      </c>
      <c r="S383" s="31">
        <f>PK!R12</f>
        <v>0</v>
      </c>
      <c r="T383" s="31">
        <f>PK!S12</f>
        <v>0</v>
      </c>
      <c r="U383" s="31">
        <f>PK!T12</f>
        <v>-10867286</v>
      </c>
      <c r="V383" s="31">
        <f>PK!U12</f>
        <v>0</v>
      </c>
      <c r="W383" s="31">
        <f>PK!V12</f>
        <v>-47067239</v>
      </c>
      <c r="X383" s="31">
        <f>PK!W12</f>
        <v>0</v>
      </c>
      <c r="Y383" s="31">
        <f>PK!X12</f>
        <v>-47067239</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12369797.379999999</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99918350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-70621165</v>
      </c>
      <c r="V384" s="31">
        <f>PK!U13</f>
        <v>18740576</v>
      </c>
      <c r="W384" s="31">
        <f>PK!V13</f>
        <v>48037761</v>
      </c>
      <c r="X384" s="31">
        <f>PK!W13</f>
        <v>0</v>
      </c>
      <c r="Y384" s="31">
        <f>PK!X13</f>
        <v>48037761</v>
      </c>
    </row>
    <row r="385" spans="4:25" ht="12.75">
      <c r="D385" s="4" t="s">
        <v>542</v>
      </c>
      <c r="E385" s="4">
        <v>6</v>
      </c>
      <c r="F385" s="4">
        <f>PK!G14</f>
        <v>5</v>
      </c>
      <c r="G385" s="4">
        <f>IF(PK!H14&lt;&gt;"",PK!H14,"")</f>
      </c>
      <c r="H385" s="30">
        <f t="shared" si="22"/>
        <v>2312761.0199999996</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5378514</v>
      </c>
      <c r="W385" s="31">
        <f>PK!V14</f>
        <v>5378514</v>
      </c>
      <c r="X385" s="31">
        <f>PK!W14</f>
        <v>0</v>
      </c>
      <c r="Y385" s="31">
        <f>PK!X14</f>
        <v>5378514</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-187405.75999999978</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18740576</v>
      </c>
      <c r="V401" s="31">
        <f>PK!U30</f>
        <v>-18740576</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33479639.14</v>
      </c>
      <c r="I403" s="31">
        <f t="shared" si="23"/>
        <v>0</v>
      </c>
      <c r="J403" s="31">
        <f>PK!I32</f>
        <v>99918350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-51880589</v>
      </c>
      <c r="V403" s="31">
        <f>PK!U32</f>
        <v>5378514</v>
      </c>
      <c r="W403" s="31">
        <f>PK!V32</f>
        <v>53416275</v>
      </c>
      <c r="X403" s="31">
        <f>PK!W32</f>
        <v>0</v>
      </c>
      <c r="Y403" s="31">
        <f>PK!X32</f>
        <v>53416275</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37476373.14</v>
      </c>
      <c r="I407" s="31">
        <f t="shared" si="23"/>
        <v>0</v>
      </c>
      <c r="J407" s="31">
        <f>PK!I38</f>
        <v>99918350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-51880589</v>
      </c>
      <c r="V407" s="31">
        <f>PK!U38</f>
        <v>5378514</v>
      </c>
      <c r="W407" s="31">
        <f>PK!V38</f>
        <v>53416275</v>
      </c>
      <c r="X407" s="31">
        <f>PK!W38</f>
        <v>0</v>
      </c>
      <c r="Y407" s="31">
        <f>PK!X38</f>
        <v>53416275</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40473923.64</v>
      </c>
      <c r="I410" s="31">
        <f t="shared" si="23"/>
        <v>0</v>
      </c>
      <c r="J410" s="31">
        <f>PK!I41</f>
        <v>99918350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-51880589</v>
      </c>
      <c r="V410" s="31">
        <f>PK!U41</f>
        <v>5378514</v>
      </c>
      <c r="W410" s="31">
        <f>PK!V41</f>
        <v>53416275</v>
      </c>
      <c r="X410" s="31">
        <f>PK!W41</f>
        <v>0</v>
      </c>
      <c r="Y410" s="31">
        <f>PK!X41</f>
        <v>53416275</v>
      </c>
    </row>
    <row r="411" spans="4:25" ht="12.75">
      <c r="D411" s="4" t="s">
        <v>542</v>
      </c>
      <c r="E411" s="4">
        <v>6</v>
      </c>
      <c r="F411" s="4">
        <f>PK!G42</f>
        <v>31</v>
      </c>
      <c r="G411" s="4">
        <f>IF(PK!H42&lt;&gt;"",PK!H42,"")</f>
      </c>
      <c r="H411" s="30">
        <f t="shared" si="22"/>
        <v>-3803662.6100000003</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-8845727</v>
      </c>
      <c r="W411" s="31">
        <f>PK!V42</f>
        <v>-8845727</v>
      </c>
      <c r="X411" s="31">
        <f>PK!W42</f>
        <v>0</v>
      </c>
      <c r="Y411" s="31">
        <f>PK!X42</f>
        <v>-8845727</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-53785.1399999999</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5378514</v>
      </c>
      <c r="V427" s="31">
        <f>PK!U58</f>
        <v>-5378514</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55600962.39</v>
      </c>
      <c r="I429" s="31">
        <f t="shared" si="23"/>
        <v>0</v>
      </c>
      <c r="J429" s="31">
        <f>PK!I60</f>
        <v>99918350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-46502075</v>
      </c>
      <c r="V429" s="31">
        <f>PK!U60</f>
        <v>-8845727</v>
      </c>
      <c r="W429" s="31">
        <f>PK!V60</f>
        <v>44570548</v>
      </c>
      <c r="X429" s="31">
        <f>PK!W60</f>
        <v>0</v>
      </c>
      <c r="Y429" s="31">
        <f>PK!X60</f>
        <v>44570548</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82" activePane="bottomLeft" state="frozen"/>
      <selection pane="topLeft" activeCell="A2" sqref="A2"/>
      <selection pane="bottomLeft" activeCell="C104" sqref="C104:J104"/>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MARASKA D.D.</v>
      </c>
      <c r="X2" s="209" t="s">
        <v>207</v>
      </c>
      <c r="Y2" s="231">
        <f>IF(RefStr!C54&lt;&gt;"",RefStr!C54,"")</f>
        <v>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t="str">
        <f>RefStr!L21</f>
        <v>20963249418</v>
      </c>
      <c r="V3" s="211" t="s">
        <v>2355</v>
      </c>
      <c r="W3" s="232">
        <f>RefStr!C31</f>
        <v>23000</v>
      </c>
      <c r="X3" s="211" t="s">
        <v>208</v>
      </c>
      <c r="Y3" s="232">
        <f>IF(RefStr!F54&lt;&gt;"",RefStr!F54,"")</f>
        <v>100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21</v>
      </c>
      <c r="T4" s="211" t="s">
        <v>2718</v>
      </c>
      <c r="U4" s="232" t="str">
        <f>RefStr!C27</f>
        <v>07602786563</v>
      </c>
      <c r="V4" s="211" t="s">
        <v>2356</v>
      </c>
      <c r="W4" s="232" t="str">
        <f>RefStr!F31</f>
        <v>ZADAR</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1</v>
      </c>
      <c r="P5" s="212">
        <f>NT_I!Q2</f>
        <v>1</v>
      </c>
      <c r="Q5" s="232">
        <f>NT_I!Q3</f>
        <v>1</v>
      </c>
      <c r="R5" s="211" t="s">
        <v>1197</v>
      </c>
      <c r="S5" s="232">
        <f>IF(RefStr!C19&lt;&gt;"",IF(ISERROR(INT(RefStr!C19)),0,RefStr!C19),0)</f>
        <v>3</v>
      </c>
      <c r="T5" s="211" t="s">
        <v>2352</v>
      </c>
      <c r="U5" s="232" t="str">
        <f>RefStr!H27</f>
        <v>03112322</v>
      </c>
      <c r="V5" s="211" t="s">
        <v>2357</v>
      </c>
      <c r="W5" s="232" t="str">
        <f>RefStr!C33</f>
        <v>BIOGRADSKA CESTA 64A</v>
      </c>
      <c r="X5" s="234" t="s">
        <v>2517</v>
      </c>
      <c r="Y5" s="235" t="str">
        <f>RefStr!I62</f>
        <v>DA</v>
      </c>
      <c r="Z5" s="211" t="s">
        <v>691</v>
      </c>
      <c r="AA5" s="232" t="str">
        <f>RefStr!M46</f>
        <v>4272016790006</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060007362</v>
      </c>
      <c r="V6" s="211" t="s">
        <v>2568</v>
      </c>
      <c r="W6" s="232" t="str">
        <f>RefStr!L35</f>
        <v>023/208-800</v>
      </c>
      <c r="X6" s="211" t="s">
        <v>2514</v>
      </c>
      <c r="Y6" s="232" t="str">
        <f>RefStr!C68</f>
        <v>STIPE BEVANDA</v>
      </c>
      <c r="Z6" s="211" t="s">
        <v>1415</v>
      </c>
      <c r="AA6" s="232">
        <f>RefStr!C46</f>
        <v>70</v>
      </c>
    </row>
    <row r="7" spans="1:27" ht="13.5" customHeight="1">
      <c r="A7" s="496"/>
      <c r="B7" s="497"/>
      <c r="C7" s="497"/>
      <c r="D7" s="497"/>
      <c r="E7" s="497"/>
      <c r="F7" s="497"/>
      <c r="G7" s="497"/>
      <c r="H7" s="497"/>
      <c r="I7" s="222" t="s">
        <v>16</v>
      </c>
      <c r="J7" s="224">
        <f>SUM(M12:M120)</f>
        <v>1</v>
      </c>
      <c r="N7" s="208" t="s">
        <v>542</v>
      </c>
      <c r="O7" s="211">
        <f>PK!AA1</f>
        <v>1</v>
      </c>
      <c r="P7" s="212">
        <f>PK!AA2</f>
        <v>1</v>
      </c>
      <c r="Q7" s="232">
        <f>PK!AA3</f>
        <v>1</v>
      </c>
      <c r="R7" s="211" t="s">
        <v>2569</v>
      </c>
      <c r="S7" s="232">
        <f>IF(RefStr!C44&lt;&gt;"",IF(ISERROR(INT(RefStr!C44)),0,RefStr!C44),0)</f>
        <v>3</v>
      </c>
      <c r="T7" s="211" t="s">
        <v>1862</v>
      </c>
      <c r="U7" s="232">
        <f>RefStr!C7</f>
        <v>4</v>
      </c>
      <c r="V7" s="211" t="s">
        <v>1193</v>
      </c>
      <c r="W7" s="232" t="str">
        <f>TRIM(UPPER(RefStr!C35))</f>
        <v>MARASKA@MARASKA.HR</v>
      </c>
      <c r="X7" s="211" t="s">
        <v>2515</v>
      </c>
      <c r="Y7" s="232" t="str">
        <f>RefStr!C70</f>
        <v>023/208-800</v>
      </c>
      <c r="Z7" s="211" t="s">
        <v>1416</v>
      </c>
      <c r="AA7" s="232" t="str">
        <f>RefStr!D46</f>
        <v>Bosna i Hercegovina</v>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Dioničko društvo</v>
      </c>
      <c r="V8" s="211" t="s">
        <v>2574</v>
      </c>
      <c r="W8" s="232" t="str">
        <f>RefStr!C42</f>
        <v>1101</v>
      </c>
      <c r="X8" s="211" t="s">
        <v>2516</v>
      </c>
      <c r="Y8" s="232" t="str">
        <f>TRIM(UPPER(RefStr!C72))</f>
        <v>STIPE.BEVANDA@MARASKA.HR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171</v>
      </c>
      <c r="Q9" s="231">
        <f>RefStr!F58</f>
        <v>151</v>
      </c>
      <c r="R9" s="211" t="s">
        <v>1860</v>
      </c>
      <c r="S9" s="232">
        <f>IF(RefStr!F4&lt;&gt;"",RefStr!F4,0)</f>
        <v>44196</v>
      </c>
      <c r="T9" s="211" t="s">
        <v>1821</v>
      </c>
      <c r="U9" s="232">
        <f>RefStr!C39</f>
        <v>520</v>
      </c>
      <c r="V9" s="211" t="s">
        <v>1414</v>
      </c>
      <c r="W9" s="232" t="str">
        <f>RefStr!D42</f>
        <v>Destiliranje, pročišćavanje i miješanj...</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171</v>
      </c>
      <c r="Q10" s="233">
        <f>RefStr!F56</f>
        <v>151</v>
      </c>
      <c r="R10" s="213" t="s">
        <v>1863</v>
      </c>
      <c r="S10" s="233">
        <f>RefStr!C23</f>
        <v>1</v>
      </c>
      <c r="T10" s="213" t="s">
        <v>2573</v>
      </c>
      <c r="U10" s="233" t="str">
        <f>RefStr!D39</f>
        <v>Zadar</v>
      </c>
      <c r="V10" s="240"/>
      <c r="W10" s="241"/>
      <c r="X10" s="242" t="s">
        <v>1974</v>
      </c>
      <c r="Y10" s="243">
        <f>RefStr!F12</f>
        <v>2020</v>
      </c>
      <c r="Z10" s="213" t="s">
        <v>209</v>
      </c>
      <c r="AA10" s="233" t="str">
        <f>RefStr!A75</f>
        <v>STIPE BEVANDA</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Provjera</v>
      </c>
      <c r="C102" s="490" t="s">
        <v>821</v>
      </c>
      <c r="D102" s="490"/>
      <c r="E102" s="490"/>
      <c r="F102" s="490"/>
      <c r="G102" s="490"/>
      <c r="H102" s="490"/>
      <c r="I102" s="490"/>
      <c r="J102" s="490"/>
      <c r="L102" s="195">
        <v>0</v>
      </c>
      <c r="M102" s="195">
        <f t="shared" si="16"/>
        <v>1</v>
      </c>
      <c r="N102" s="195">
        <f>IF(AND(P4&gt;0,SUM(Bilanca!I31+Bilanca!I34+Bilanca!I36+Bilanca!I38+Bilanca!I64+Bilanca!I67+Bilanca!I69+Bilanca!I70)&lt;SUM(Dodatni!I10:I12)),1,0)</f>
        <v>1</v>
      </c>
      <c r="O102" s="195">
        <f>IF(AND(Q4&gt;0,SUM(Bilanca!J31+Bilanca!J34+Bilanca!J36+Bilanca!J38+Bilanca!J64+Bilanca!J67+Bilanca!J69+Bilanca!J70)&lt;SUM(Dodatni!J10:J12)),1,0)</f>
        <v>1</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I56" sqref="I5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311232.2</v>
      </c>
    </row>
    <row r="13" spans="4:17" ht="9.75" customHeight="1">
      <c r="D13" s="156"/>
      <c r="E13" s="162"/>
      <c r="H13" s="27"/>
      <c r="I13" s="163"/>
      <c r="J13" s="163"/>
      <c r="K13" s="156"/>
      <c r="L13" s="156"/>
      <c r="M13" s="156"/>
      <c r="N13" s="156"/>
      <c r="P13" s="54" t="s">
        <v>2353</v>
      </c>
      <c r="Q13" s="55">
        <f>INT(VALUE(M27))/50</f>
        <v>1200147.24</v>
      </c>
    </row>
    <row r="14" spans="1:17" ht="15">
      <c r="A14" s="321" t="s">
        <v>2714</v>
      </c>
      <c r="B14" s="321"/>
      <c r="C14" s="321"/>
      <c r="D14" s="164"/>
      <c r="E14" s="165"/>
      <c r="F14" s="319"/>
      <c r="G14" s="320"/>
      <c r="H14" s="320"/>
      <c r="I14" s="156"/>
      <c r="J14" s="327" t="s">
        <v>2100</v>
      </c>
      <c r="K14" s="328"/>
      <c r="L14" s="328"/>
      <c r="M14" s="328"/>
      <c r="N14" s="328"/>
      <c r="P14" s="54" t="s">
        <v>2718</v>
      </c>
      <c r="Q14" s="55">
        <f>INT(VALUE(C27))/100</f>
        <v>76027865.63</v>
      </c>
    </row>
    <row r="15" spans="1:17" ht="19.5" customHeight="1">
      <c r="A15" s="324">
        <f>Skriveni!B59</f>
        <v>50185639678.11</v>
      </c>
      <c r="B15" s="325"/>
      <c r="C15" s="326"/>
      <c r="D15" s="60"/>
      <c r="E15" s="60"/>
      <c r="F15" s="60"/>
      <c r="G15" s="60"/>
      <c r="H15" s="60"/>
      <c r="I15" s="60"/>
      <c r="J15" s="60"/>
      <c r="K15" s="60"/>
      <c r="L15" s="60"/>
      <c r="M15" s="60"/>
      <c r="N15" s="60"/>
      <c r="P15" s="54" t="s">
        <v>1817</v>
      </c>
      <c r="Q15" s="55">
        <f>LEN(Skriveni!B9)</f>
        <v>12</v>
      </c>
    </row>
    <row r="16" spans="4:17" ht="12.75" customHeight="1">
      <c r="D16" s="60"/>
      <c r="E16" s="60"/>
      <c r="F16" s="60"/>
      <c r="G16" s="60"/>
      <c r="H16" s="60"/>
      <c r="I16" s="60"/>
      <c r="P16" s="54" t="s">
        <v>1818</v>
      </c>
      <c r="Q16" s="55">
        <f>INT(VALUE(C31))/100</f>
        <v>230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20</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2953</v>
      </c>
      <c r="M21" s="342"/>
      <c r="N21" s="277"/>
      <c r="P21" s="54" t="s">
        <v>1821</v>
      </c>
      <c r="Q21" s="55">
        <f>INT(VALUE(C39))</f>
        <v>520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1101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2957</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23000</v>
      </c>
      <c r="D31" s="335" t="s">
        <v>693</v>
      </c>
      <c r="E31" s="336"/>
      <c r="F31" s="316" t="s">
        <v>2958</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2959</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2960</v>
      </c>
      <c r="D35" s="340"/>
      <c r="E35" s="340"/>
      <c r="F35" s="340"/>
      <c r="G35" s="340"/>
      <c r="H35" s="340"/>
      <c r="I35" s="341"/>
      <c r="J35" s="283" t="s">
        <v>188</v>
      </c>
      <c r="K35" s="347"/>
      <c r="L35" s="274" t="s">
        <v>2961</v>
      </c>
      <c r="M35" s="342"/>
      <c r="N35" s="277"/>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2962</v>
      </c>
      <c r="D37" s="285"/>
      <c r="E37" s="285"/>
      <c r="F37" s="285"/>
      <c r="G37" s="285"/>
      <c r="H37" s="285"/>
      <c r="I37" s="286"/>
      <c r="P37" s="54" t="s">
        <v>1825</v>
      </c>
      <c r="Q37" s="55">
        <f>C54*2+F54</f>
        <v>100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520</v>
      </c>
      <c r="D39" s="348" t="str">
        <f>IF(C39="","Šifra grada/općine nije upisana",IF(ISNA(LOOKUP(C39,A177:A732,A177:A732)),"Šifra grada/općine ne postoji",IF(LOOKUP(C39,A177:A732,A177:A732)&lt;&gt;C39,"Šifra grada/općine ne postoji",LOOKUP(C39,A177:A732,B177:B732))))</f>
        <v>Zadar</v>
      </c>
      <c r="E39" s="349"/>
      <c r="F39" s="349"/>
      <c r="G39" s="349"/>
      <c r="H39" s="272" t="s">
        <v>2222</v>
      </c>
      <c r="I39" s="344"/>
      <c r="J39" s="58">
        <f>IF(C39&gt;0,LOOKUP(C39,A177:A732,C177:C732),"")</f>
        <v>13</v>
      </c>
      <c r="K39" s="351" t="str">
        <f>IF(J39="","Treba prvo upisati šifru grada/općine",LOOKUP(J39,A153:A173,B153:B173))</f>
        <v>ZADARSKA</v>
      </c>
      <c r="L39" s="351"/>
      <c r="M39" s="351"/>
      <c r="N39" s="351"/>
      <c r="P39" s="54" t="s">
        <v>1826</v>
      </c>
      <c r="Q39" s="55">
        <f>C56+2*F56+3*C58+4*F58</f>
        <v>1590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2693</v>
      </c>
      <c r="D42" s="353" t="str">
        <f>IF(C42="","Šifra NKD-a nije upisana",IF(ISNA(LOOKUP(C42,A736:A1351,A736:A1351)),"Šifra NKD-a ne postoji",IF(LOOKUP(C42,A736:A1351,A736:A1351)&lt;&gt;C42,"Šifra NKD-a ne postoji",LOOKUP(C42,A736:A1351,B736:B1351))))</f>
        <v>Destiliranje, pročišćavanje i miješanj...</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3</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izvan RH</v>
      </c>
      <c r="E44" s="357"/>
      <c r="F44" s="357"/>
      <c r="G44" s="357"/>
      <c r="H44" s="357"/>
      <c r="I44" s="357"/>
      <c r="J44" s="357"/>
      <c r="K44" s="357"/>
      <c r="L44" s="357"/>
      <c r="M44" s="357"/>
      <c r="N44" s="357"/>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v>70</v>
      </c>
      <c r="D46" s="365" t="str">
        <f>IF(C46="","",IF(ISNA(LOOKUP(C46,A1355:A1603,A1355:A1603)),"Šifra države nepostojeća",IF(LOOKUP(C46,A1355:A1603,A1355:A1603)&lt;&gt;C46,"Šifra države nepostojeća",LOOKUP(C46,A1355:A1603,B1355:B1603))))</f>
        <v>Bosna i Hercegovina</v>
      </c>
      <c r="E46" s="366"/>
      <c r="F46" s="366"/>
      <c r="G46" s="366"/>
      <c r="H46" s="366"/>
      <c r="I46" s="366"/>
      <c r="J46" s="279" t="s">
        <v>2130</v>
      </c>
      <c r="K46" s="280"/>
      <c r="L46" s="280"/>
      <c r="M46" s="274" t="s">
        <v>2963</v>
      </c>
      <c r="N46" s="364"/>
      <c r="P46" s="56" t="s">
        <v>1828</v>
      </c>
      <c r="Q46" s="57">
        <f>INT(VALUE(L21))/100</f>
        <v>209632494.18</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21</v>
      </c>
      <c r="D52" s="352"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0</v>
      </c>
      <c r="D54" s="59" t="s">
        <v>2113</v>
      </c>
      <c r="F54" s="40">
        <v>100</v>
      </c>
      <c r="G54" s="59" t="s">
        <v>2114</v>
      </c>
      <c r="H54" s="60"/>
      <c r="I54" s="5" t="str">
        <f>IF(OR(Dodatni!Q1=1,AND(N6="NE",C19&lt;&gt;2)),"DA","NE")</f>
        <v>DA</v>
      </c>
      <c r="J54" s="350" t="s">
        <v>567</v>
      </c>
      <c r="K54" s="312"/>
      <c r="L54" s="312"/>
      <c r="M54" s="312"/>
      <c r="N54" s="312"/>
      <c r="O54" s="186"/>
      <c r="P54" s="54" t="s">
        <v>2569</v>
      </c>
      <c r="Q54" s="54">
        <f>C44/10</f>
        <v>0.3</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171</v>
      </c>
      <c r="D56" s="270" t="s">
        <v>2898</v>
      </c>
      <c r="E56" s="380"/>
      <c r="F56" s="44">
        <v>151</v>
      </c>
      <c r="G56" s="270" t="s">
        <v>2899</v>
      </c>
      <c r="H56" s="271"/>
      <c r="I56" s="226" t="s">
        <v>2138</v>
      </c>
      <c r="J56" s="358" t="s">
        <v>1220</v>
      </c>
      <c r="K56" s="312"/>
      <c r="L56" s="312"/>
      <c r="M56" s="312"/>
      <c r="N56" s="312"/>
      <c r="O56" s="186"/>
      <c r="P56" s="54" t="s">
        <v>1972</v>
      </c>
      <c r="Q56" s="54">
        <f>C46/20</f>
        <v>3.5</v>
      </c>
    </row>
    <row r="57" spans="1:15" ht="4.5" customHeight="1">
      <c r="A57" s="280"/>
      <c r="B57" s="280"/>
      <c r="G57" s="63"/>
      <c r="H57" s="63"/>
      <c r="I57" s="62"/>
      <c r="J57" s="188"/>
      <c r="K57" s="188"/>
      <c r="L57" s="188"/>
      <c r="M57" s="188"/>
      <c r="N57" s="188"/>
      <c r="O57" s="186"/>
    </row>
    <row r="58" spans="1:17" ht="15" customHeight="1">
      <c r="A58" s="268" t="s">
        <v>2226</v>
      </c>
      <c r="B58" s="269"/>
      <c r="C58" s="44">
        <v>171</v>
      </c>
      <c r="D58" s="278" t="s">
        <v>2898</v>
      </c>
      <c r="E58" s="278"/>
      <c r="F58" s="44">
        <v>151</v>
      </c>
      <c r="G58" s="278" t="s">
        <v>2899</v>
      </c>
      <c r="H58" s="278"/>
      <c r="I58" s="5" t="str">
        <f>IF(OR(NT_I!Q1&lt;&gt;0,NT_D!Q1&lt;&gt;0),"DA","NE")</f>
        <v>DA</v>
      </c>
      <c r="J58" s="350" t="s">
        <v>1453</v>
      </c>
      <c r="K58" s="312"/>
      <c r="L58" s="312"/>
      <c r="M58" s="312"/>
      <c r="N58" s="312"/>
      <c r="O58" s="186"/>
      <c r="P58" s="54" t="s">
        <v>1973</v>
      </c>
      <c r="Q58" s="54">
        <f>IF(ISERROR(INT(M46)),LEN(M46),INT(M46)/100)</f>
        <v>42720167900.06</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2138</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2964</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2965</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I133" sqref="I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07602786563; MARASKA D.D.</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104087653</v>
      </c>
      <c r="J10" s="70">
        <f>J11+J18+J28+J39+J44</f>
        <v>101140269</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103405706</v>
      </c>
      <c r="J18" s="70">
        <f>SUM(J19:J27)</f>
        <v>98057096</v>
      </c>
    </row>
    <row r="19" spans="1:10" ht="13.5" customHeight="1">
      <c r="A19" s="383" t="s">
        <v>2176</v>
      </c>
      <c r="B19" s="383"/>
      <c r="C19" s="383"/>
      <c r="D19" s="383"/>
      <c r="E19" s="383"/>
      <c r="F19" s="383"/>
      <c r="G19" s="19">
        <v>11</v>
      </c>
      <c r="H19" s="20"/>
      <c r="I19" s="71">
        <v>30056155</v>
      </c>
      <c r="J19" s="71">
        <v>29486566</v>
      </c>
    </row>
    <row r="20" spans="1:10" ht="13.5" customHeight="1">
      <c r="A20" s="383" t="s">
        <v>543</v>
      </c>
      <c r="B20" s="383"/>
      <c r="C20" s="383"/>
      <c r="D20" s="383"/>
      <c r="E20" s="383"/>
      <c r="F20" s="383"/>
      <c r="G20" s="19">
        <v>12</v>
      </c>
      <c r="H20" s="20"/>
      <c r="I20" s="71">
        <v>25943474</v>
      </c>
      <c r="J20" s="71">
        <v>23066335</v>
      </c>
    </row>
    <row r="21" spans="1:10" ht="13.5" customHeight="1">
      <c r="A21" s="383" t="s">
        <v>2177</v>
      </c>
      <c r="B21" s="383"/>
      <c r="C21" s="383"/>
      <c r="D21" s="383"/>
      <c r="E21" s="383"/>
      <c r="F21" s="383"/>
      <c r="G21" s="19">
        <v>13</v>
      </c>
      <c r="H21" s="20"/>
      <c r="I21" s="71">
        <v>8778116</v>
      </c>
      <c r="J21" s="71">
        <v>10367801</v>
      </c>
    </row>
    <row r="22" spans="1:10" ht="13.5" customHeight="1">
      <c r="A22" s="383" t="s">
        <v>2290</v>
      </c>
      <c r="B22" s="383"/>
      <c r="C22" s="383"/>
      <c r="D22" s="383"/>
      <c r="E22" s="383"/>
      <c r="F22" s="383"/>
      <c r="G22" s="19">
        <v>14</v>
      </c>
      <c r="H22" s="20"/>
      <c r="I22" s="71">
        <v>4896753</v>
      </c>
      <c r="J22" s="71">
        <v>3814557</v>
      </c>
    </row>
    <row r="23" spans="1:10" ht="13.5" customHeight="1">
      <c r="A23" s="383" t="s">
        <v>2291</v>
      </c>
      <c r="B23" s="383"/>
      <c r="C23" s="383"/>
      <c r="D23" s="383"/>
      <c r="E23" s="383"/>
      <c r="F23" s="383"/>
      <c r="G23" s="19">
        <v>15</v>
      </c>
      <c r="H23" s="20"/>
      <c r="I23" s="71">
        <v>33731208</v>
      </c>
      <c r="J23" s="71">
        <v>31321837</v>
      </c>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22000</v>
      </c>
      <c r="J28" s="70">
        <f>SUM(J29:J38)</f>
        <v>22000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v>22000</v>
      </c>
      <c r="J32" s="71">
        <v>22000</v>
      </c>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v>659947</v>
      </c>
      <c r="J44" s="71">
        <v>3061173</v>
      </c>
    </row>
    <row r="45" spans="1:10" ht="13.5" customHeight="1">
      <c r="A45" s="381" t="s">
        <v>2646</v>
      </c>
      <c r="B45" s="381"/>
      <c r="C45" s="381"/>
      <c r="D45" s="381"/>
      <c r="E45" s="381"/>
      <c r="F45" s="381"/>
      <c r="G45" s="19">
        <v>37</v>
      </c>
      <c r="H45" s="20"/>
      <c r="I45" s="70">
        <f>I46+I54+I61+I71</f>
        <v>75754350</v>
      </c>
      <c r="J45" s="70">
        <f>J46+J54+J61+J71</f>
        <v>57078129</v>
      </c>
    </row>
    <row r="46" spans="1:10" ht="13.5" customHeight="1">
      <c r="A46" s="384" t="s">
        <v>2647</v>
      </c>
      <c r="B46" s="384"/>
      <c r="C46" s="384"/>
      <c r="D46" s="384"/>
      <c r="E46" s="384"/>
      <c r="F46" s="384"/>
      <c r="G46" s="19">
        <v>38</v>
      </c>
      <c r="H46" s="20"/>
      <c r="I46" s="70">
        <f>SUM(I47:I53)</f>
        <v>38469585</v>
      </c>
      <c r="J46" s="70">
        <f>SUM(J47:J53)</f>
        <v>31756158</v>
      </c>
    </row>
    <row r="47" spans="1:10" ht="13.5" customHeight="1">
      <c r="A47" s="383" t="s">
        <v>970</v>
      </c>
      <c r="B47" s="383"/>
      <c r="C47" s="383"/>
      <c r="D47" s="383"/>
      <c r="E47" s="383"/>
      <c r="F47" s="383"/>
      <c r="G47" s="19">
        <v>39</v>
      </c>
      <c r="H47" s="20"/>
      <c r="I47" s="71">
        <v>12432409</v>
      </c>
      <c r="J47" s="71">
        <v>10161558</v>
      </c>
    </row>
    <row r="48" spans="1:10" ht="13.5" customHeight="1">
      <c r="A48" s="383" t="s">
        <v>971</v>
      </c>
      <c r="B48" s="383"/>
      <c r="C48" s="383"/>
      <c r="D48" s="383"/>
      <c r="E48" s="383"/>
      <c r="F48" s="383"/>
      <c r="G48" s="19">
        <v>40</v>
      </c>
      <c r="H48" s="20"/>
      <c r="I48" s="71">
        <v>1981533</v>
      </c>
      <c r="J48" s="71">
        <v>780356</v>
      </c>
    </row>
    <row r="49" spans="1:10" ht="13.5" customHeight="1">
      <c r="A49" s="383" t="s">
        <v>972</v>
      </c>
      <c r="B49" s="383"/>
      <c r="C49" s="383"/>
      <c r="D49" s="383"/>
      <c r="E49" s="383"/>
      <c r="F49" s="383"/>
      <c r="G49" s="19">
        <v>41</v>
      </c>
      <c r="H49" s="20"/>
      <c r="I49" s="71">
        <v>22260649</v>
      </c>
      <c r="J49" s="71">
        <v>18756379</v>
      </c>
    </row>
    <row r="50" spans="1:10" ht="13.5" customHeight="1">
      <c r="A50" s="383" t="s">
        <v>973</v>
      </c>
      <c r="B50" s="383"/>
      <c r="C50" s="383"/>
      <c r="D50" s="383"/>
      <c r="E50" s="383"/>
      <c r="F50" s="383"/>
      <c r="G50" s="19">
        <v>42</v>
      </c>
      <c r="H50" s="20"/>
      <c r="I50" s="71">
        <v>91583</v>
      </c>
      <c r="J50" s="71">
        <v>230298</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v>1703411</v>
      </c>
      <c r="J53" s="71">
        <v>1827567</v>
      </c>
    </row>
    <row r="54" spans="1:10" ht="13.5" customHeight="1">
      <c r="A54" s="384" t="s">
        <v>2648</v>
      </c>
      <c r="B54" s="384"/>
      <c r="C54" s="384"/>
      <c r="D54" s="384"/>
      <c r="E54" s="384"/>
      <c r="F54" s="384"/>
      <c r="G54" s="19">
        <v>46</v>
      </c>
      <c r="H54" s="20"/>
      <c r="I54" s="70">
        <f>SUM(I55:I60)</f>
        <v>36226040</v>
      </c>
      <c r="J54" s="70">
        <f>SUM(J55:J60)</f>
        <v>25297811</v>
      </c>
    </row>
    <row r="55" spans="1:10" ht="13.5" customHeight="1">
      <c r="A55" s="383" t="s">
        <v>348</v>
      </c>
      <c r="B55" s="383"/>
      <c r="C55" s="383"/>
      <c r="D55" s="383"/>
      <c r="E55" s="383"/>
      <c r="F55" s="383"/>
      <c r="G55" s="19">
        <v>47</v>
      </c>
      <c r="H55" s="20"/>
      <c r="I55" s="71">
        <v>1250552</v>
      </c>
      <c r="J55" s="71">
        <v>1339302</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34413818</v>
      </c>
      <c r="J57" s="71">
        <v>23805307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0</v>
      </c>
      <c r="J59" s="71">
        <v>98411</v>
      </c>
    </row>
    <row r="60" spans="1:10" ht="13.5" customHeight="1">
      <c r="A60" s="383" t="s">
        <v>2638</v>
      </c>
      <c r="B60" s="383"/>
      <c r="C60" s="383"/>
      <c r="D60" s="383"/>
      <c r="E60" s="383"/>
      <c r="F60" s="383"/>
      <c r="G60" s="19">
        <v>52</v>
      </c>
      <c r="H60" s="20"/>
      <c r="I60" s="71">
        <v>561670</v>
      </c>
      <c r="J60" s="71">
        <v>54791</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1058725</v>
      </c>
      <c r="J71" s="71">
        <v>24160</v>
      </c>
    </row>
    <row r="72" spans="1:10" ht="24.75" customHeight="1">
      <c r="A72" s="381" t="s">
        <v>1558</v>
      </c>
      <c r="B72" s="381"/>
      <c r="C72" s="381"/>
      <c r="D72" s="381"/>
      <c r="E72" s="381"/>
      <c r="F72" s="381"/>
      <c r="G72" s="19">
        <v>64</v>
      </c>
      <c r="H72" s="20"/>
      <c r="I72" s="71">
        <v>880000</v>
      </c>
      <c r="J72" s="71"/>
    </row>
    <row r="73" spans="1:10" ht="13.5" customHeight="1">
      <c r="A73" s="381" t="s">
        <v>2650</v>
      </c>
      <c r="B73" s="381"/>
      <c r="C73" s="381"/>
      <c r="D73" s="381"/>
      <c r="E73" s="381"/>
      <c r="F73" s="381"/>
      <c r="G73" s="19">
        <v>65</v>
      </c>
      <c r="H73" s="20"/>
      <c r="I73" s="70">
        <f>I9+I10+I45+I72</f>
        <v>180722003</v>
      </c>
      <c r="J73" s="70">
        <f>J9+J10+J45+J72</f>
        <v>158218398</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53416275</v>
      </c>
      <c r="J76" s="70">
        <f>J77+J78+J79+J85+J86+J90+J93+J96</f>
        <v>44570548</v>
      </c>
      <c r="L76" s="2" t="s">
        <v>2591</v>
      </c>
    </row>
    <row r="77" spans="1:10" ht="13.5" customHeight="1">
      <c r="A77" s="384" t="s">
        <v>935</v>
      </c>
      <c r="B77" s="384"/>
      <c r="C77" s="384"/>
      <c r="D77" s="384"/>
      <c r="E77" s="384"/>
      <c r="F77" s="384"/>
      <c r="G77" s="19">
        <v>68</v>
      </c>
      <c r="H77" s="20"/>
      <c r="I77" s="71">
        <v>99918350</v>
      </c>
      <c r="J77" s="71">
        <v>99918350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-51880589</v>
      </c>
      <c r="J90" s="70">
        <f>J91-J92</f>
        <v>-46502075</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51880589</v>
      </c>
      <c r="J92" s="71">
        <v>46502075</v>
      </c>
    </row>
    <row r="93" spans="1:12" ht="13.5" customHeight="1">
      <c r="A93" s="384" t="s">
        <v>2653</v>
      </c>
      <c r="B93" s="384"/>
      <c r="C93" s="384"/>
      <c r="D93" s="384"/>
      <c r="E93" s="384"/>
      <c r="F93" s="384"/>
      <c r="G93" s="19">
        <v>84</v>
      </c>
      <c r="H93" s="20"/>
      <c r="I93" s="70">
        <f>I94-I95</f>
        <v>5378514</v>
      </c>
      <c r="J93" s="70">
        <f>J94-J95</f>
        <v>-8845727</v>
      </c>
      <c r="L93" s="2" t="s">
        <v>2591</v>
      </c>
    </row>
    <row r="94" spans="1:10" ht="13.5" customHeight="1">
      <c r="A94" s="383" t="s">
        <v>2640</v>
      </c>
      <c r="B94" s="383"/>
      <c r="C94" s="383"/>
      <c r="D94" s="383"/>
      <c r="E94" s="383"/>
      <c r="F94" s="383"/>
      <c r="G94" s="19">
        <v>85</v>
      </c>
      <c r="H94" s="20"/>
      <c r="I94" s="71">
        <v>5378514</v>
      </c>
      <c r="J94" s="71"/>
    </row>
    <row r="95" spans="1:10" ht="13.5" customHeight="1">
      <c r="A95" s="383" t="s">
        <v>1141</v>
      </c>
      <c r="B95" s="383"/>
      <c r="C95" s="383"/>
      <c r="D95" s="383"/>
      <c r="E95" s="383"/>
      <c r="F95" s="383"/>
      <c r="G95" s="19">
        <v>86</v>
      </c>
      <c r="H95" s="20"/>
      <c r="I95" s="71"/>
      <c r="J95" s="71">
        <v>8845727</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792533</v>
      </c>
      <c r="J97" s="70">
        <f>SUM(J98:J103)</f>
        <v>794033</v>
      </c>
    </row>
    <row r="98" spans="1:10" ht="13.5" customHeight="1">
      <c r="A98" s="383" t="s">
        <v>901</v>
      </c>
      <c r="B98" s="383"/>
      <c r="C98" s="383"/>
      <c r="D98" s="383"/>
      <c r="E98" s="383"/>
      <c r="F98" s="383"/>
      <c r="G98" s="19">
        <v>89</v>
      </c>
      <c r="H98" s="20"/>
      <c r="I98" s="71">
        <v>521598</v>
      </c>
      <c r="J98" s="71">
        <v>523098</v>
      </c>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v>270935</v>
      </c>
      <c r="J100" s="71">
        <v>270935</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53525471</v>
      </c>
      <c r="J104" s="70">
        <f>SUM(J105:J115)</f>
        <v>47332089</v>
      </c>
    </row>
    <row r="105" spans="1:10" ht="13.5" customHeight="1">
      <c r="A105" s="383" t="s">
        <v>2193</v>
      </c>
      <c r="B105" s="383"/>
      <c r="C105" s="383"/>
      <c r="D105" s="383"/>
      <c r="E105" s="383"/>
      <c r="F105" s="383"/>
      <c r="G105" s="19">
        <v>96</v>
      </c>
      <c r="H105" s="20"/>
      <c r="I105" s="71">
        <v>12980659</v>
      </c>
      <c r="J105" s="71">
        <v>12980659</v>
      </c>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40544812</v>
      </c>
      <c r="J110" s="71">
        <v>34351430</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72914707</v>
      </c>
      <c r="J116" s="70">
        <f>SUM(J117:J130)</f>
        <v>65521728</v>
      </c>
    </row>
    <row r="117" spans="1:10" ht="13.5" customHeight="1">
      <c r="A117" s="383" t="s">
        <v>2193</v>
      </c>
      <c r="B117" s="383"/>
      <c r="C117" s="383"/>
      <c r="D117" s="383"/>
      <c r="E117" s="383"/>
      <c r="F117" s="383"/>
      <c r="G117" s="19">
        <v>108</v>
      </c>
      <c r="H117" s="20"/>
      <c r="I117" s="71">
        <v>3322364</v>
      </c>
      <c r="J117" s="71">
        <v>4641215</v>
      </c>
    </row>
    <row r="118" spans="1:10" ht="13.5" customHeight="1">
      <c r="A118" s="383" t="s">
        <v>356</v>
      </c>
      <c r="B118" s="383"/>
      <c r="C118" s="383"/>
      <c r="D118" s="383"/>
      <c r="E118" s="383"/>
      <c r="F118" s="383"/>
      <c r="G118" s="19">
        <v>109</v>
      </c>
      <c r="H118" s="20"/>
      <c r="I118" s="71">
        <v>23219294</v>
      </c>
      <c r="J118" s="71">
        <v>23219294</v>
      </c>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16668637</v>
      </c>
      <c r="J122" s="71">
        <v>17790722</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22227788</v>
      </c>
      <c r="J124" s="71">
        <v>14784370</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867860</v>
      </c>
      <c r="J126" s="71">
        <v>776347</v>
      </c>
    </row>
    <row r="127" spans="1:10" ht="13.5" customHeight="1">
      <c r="A127" s="383" t="s">
        <v>364</v>
      </c>
      <c r="B127" s="383"/>
      <c r="C127" s="383"/>
      <c r="D127" s="383"/>
      <c r="E127" s="383"/>
      <c r="F127" s="383"/>
      <c r="G127" s="19">
        <v>118</v>
      </c>
      <c r="H127" s="20"/>
      <c r="I127" s="71">
        <v>6471285</v>
      </c>
      <c r="J127" s="71">
        <v>3757236</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137479</v>
      </c>
      <c r="J130" s="71">
        <v>552544</v>
      </c>
    </row>
    <row r="131" spans="1:10" ht="24.75" customHeight="1">
      <c r="A131" s="381" t="s">
        <v>1560</v>
      </c>
      <c r="B131" s="381"/>
      <c r="C131" s="381"/>
      <c r="D131" s="381"/>
      <c r="E131" s="381"/>
      <c r="F131" s="381"/>
      <c r="G131" s="19">
        <v>122</v>
      </c>
      <c r="H131" s="20"/>
      <c r="I131" s="71">
        <v>73017</v>
      </c>
      <c r="J131" s="71"/>
    </row>
    <row r="132" spans="1:10" ht="13.5" customHeight="1">
      <c r="A132" s="381" t="s">
        <v>2657</v>
      </c>
      <c r="B132" s="381"/>
      <c r="C132" s="381"/>
      <c r="D132" s="381"/>
      <c r="E132" s="381"/>
      <c r="F132" s="381"/>
      <c r="G132" s="19">
        <v>123</v>
      </c>
      <c r="H132" s="20"/>
      <c r="I132" s="70">
        <f>I76+I97+I104+I116+I131</f>
        <v>180722003</v>
      </c>
      <c r="J132" s="70">
        <f>J76+J97+J104+J116+J131</f>
        <v>158218398</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72" activePane="bottomLeft" state="frozen"/>
      <selection pane="topLeft" activeCell="A1" sqref="A1"/>
      <selection pane="bottomLeft" activeCell="J72" sqref="J7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07602786563; MARASKA D.D.</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120518672</v>
      </c>
      <c r="J8" s="84">
        <f>SUM(J9:J13)</f>
        <v>87620159</v>
      </c>
      <c r="Q8" s="2">
        <f>IF(OR(MIN(I70:J75)&lt;&gt;0,MAX(I70:J75)&lt;&gt;0),1,0)</f>
        <v>0</v>
      </c>
      <c r="R8" s="73" t="s">
        <v>2597</v>
      </c>
    </row>
    <row r="9" spans="1:10" s="2" customFormat="1" ht="13.5" customHeight="1">
      <c r="A9" s="383" t="s">
        <v>1434</v>
      </c>
      <c r="B9" s="383"/>
      <c r="C9" s="383"/>
      <c r="D9" s="383"/>
      <c r="E9" s="383"/>
      <c r="F9" s="383"/>
      <c r="G9" s="19">
        <v>126</v>
      </c>
      <c r="H9" s="20"/>
      <c r="I9" s="71">
        <v>13093559</v>
      </c>
      <c r="J9" s="71">
        <v>11157708</v>
      </c>
    </row>
    <row r="10" spans="1:10" s="2" customFormat="1" ht="13.5" customHeight="1">
      <c r="A10" s="383" t="s">
        <v>730</v>
      </c>
      <c r="B10" s="383"/>
      <c r="C10" s="383"/>
      <c r="D10" s="383"/>
      <c r="E10" s="383"/>
      <c r="F10" s="383"/>
      <c r="G10" s="19">
        <v>127</v>
      </c>
      <c r="H10" s="20"/>
      <c r="I10" s="71">
        <v>105747683</v>
      </c>
      <c r="J10" s="71">
        <v>72675943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v>1677430</v>
      </c>
      <c r="J12" s="71">
        <v>3786508</v>
      </c>
    </row>
    <row r="13" spans="1:10" s="2" customFormat="1" ht="13.5" customHeight="1">
      <c r="A13" s="383" t="s">
        <v>2510</v>
      </c>
      <c r="B13" s="383"/>
      <c r="C13" s="383"/>
      <c r="D13" s="383"/>
      <c r="E13" s="383"/>
      <c r="F13" s="383"/>
      <c r="G13" s="19">
        <v>130</v>
      </c>
      <c r="H13" s="20"/>
      <c r="I13" s="71"/>
      <c r="J13" s="71"/>
    </row>
    <row r="14" spans="1:10" s="2" customFormat="1" ht="13.5" customHeight="1">
      <c r="A14" s="381" t="s">
        <v>1837</v>
      </c>
      <c r="B14" s="381"/>
      <c r="C14" s="381"/>
      <c r="D14" s="381"/>
      <c r="E14" s="381"/>
      <c r="F14" s="381"/>
      <c r="G14" s="19">
        <v>131</v>
      </c>
      <c r="H14" s="20"/>
      <c r="I14" s="70">
        <f>I15+I16+I20+I24+I25+I26+I29+I36</f>
        <v>112863944</v>
      </c>
      <c r="J14" s="70">
        <f>J15+J16+J20+J24+J25+J26+J29+J36</f>
        <v>96793373</v>
      </c>
    </row>
    <row r="15" spans="1:12" s="2" customFormat="1" ht="13.5" customHeight="1">
      <c r="A15" s="383" t="s">
        <v>258</v>
      </c>
      <c r="B15" s="383"/>
      <c r="C15" s="383"/>
      <c r="D15" s="383"/>
      <c r="E15" s="383"/>
      <c r="F15" s="383"/>
      <c r="G15" s="19">
        <v>132</v>
      </c>
      <c r="H15" s="20"/>
      <c r="I15" s="71">
        <v>-247531</v>
      </c>
      <c r="J15" s="71">
        <v>4049244</v>
      </c>
      <c r="L15" s="2" t="s">
        <v>2591</v>
      </c>
    </row>
    <row r="16" spans="1:10" s="2" customFormat="1" ht="13.5" customHeight="1">
      <c r="A16" s="383" t="s">
        <v>1838</v>
      </c>
      <c r="B16" s="383"/>
      <c r="C16" s="383"/>
      <c r="D16" s="383"/>
      <c r="E16" s="383"/>
      <c r="F16" s="383"/>
      <c r="G16" s="19">
        <v>133</v>
      </c>
      <c r="H16" s="20"/>
      <c r="I16" s="70">
        <f>SUM(I17:I19)</f>
        <v>67886818</v>
      </c>
      <c r="J16" s="70">
        <f>SUM(J17:J19)</f>
        <v>52452756</v>
      </c>
    </row>
    <row r="17" spans="1:10" s="2" customFormat="1" ht="13.5" customHeight="1">
      <c r="A17" s="409" t="s">
        <v>504</v>
      </c>
      <c r="B17" s="409"/>
      <c r="C17" s="409"/>
      <c r="D17" s="409"/>
      <c r="E17" s="409"/>
      <c r="F17" s="409"/>
      <c r="G17" s="19">
        <v>134</v>
      </c>
      <c r="H17" s="20"/>
      <c r="I17" s="71">
        <v>58828653</v>
      </c>
      <c r="J17" s="71">
        <v>46697222</v>
      </c>
    </row>
    <row r="18" spans="1:10" s="2" customFormat="1" ht="13.5" customHeight="1">
      <c r="A18" s="409" t="s">
        <v>505</v>
      </c>
      <c r="B18" s="409"/>
      <c r="C18" s="409"/>
      <c r="D18" s="409"/>
      <c r="E18" s="409"/>
      <c r="F18" s="409"/>
      <c r="G18" s="19">
        <v>135</v>
      </c>
      <c r="H18" s="20"/>
      <c r="I18" s="71">
        <v>1184574</v>
      </c>
      <c r="J18" s="71">
        <v>684308</v>
      </c>
    </row>
    <row r="19" spans="1:10" s="2" customFormat="1" ht="13.5" customHeight="1">
      <c r="A19" s="409" t="s">
        <v>1426</v>
      </c>
      <c r="B19" s="409"/>
      <c r="C19" s="409"/>
      <c r="D19" s="409"/>
      <c r="E19" s="409"/>
      <c r="F19" s="409"/>
      <c r="G19" s="19">
        <v>136</v>
      </c>
      <c r="H19" s="20"/>
      <c r="I19" s="71">
        <v>7873591</v>
      </c>
      <c r="J19" s="71">
        <v>5071226</v>
      </c>
    </row>
    <row r="20" spans="1:10" s="2" customFormat="1" ht="13.5" customHeight="1">
      <c r="A20" s="383" t="s">
        <v>1839</v>
      </c>
      <c r="B20" s="383"/>
      <c r="C20" s="383"/>
      <c r="D20" s="383"/>
      <c r="E20" s="383"/>
      <c r="F20" s="383"/>
      <c r="G20" s="19">
        <v>137</v>
      </c>
      <c r="H20" s="20"/>
      <c r="I20" s="70">
        <f>SUM(I21:I23)</f>
        <v>15009325</v>
      </c>
      <c r="J20" s="70">
        <f>SUM(J21:J23)</f>
        <v>13745104</v>
      </c>
    </row>
    <row r="21" spans="1:10" s="2" customFormat="1" ht="13.5" customHeight="1">
      <c r="A21" s="409" t="s">
        <v>724</v>
      </c>
      <c r="B21" s="409"/>
      <c r="C21" s="409"/>
      <c r="D21" s="409"/>
      <c r="E21" s="409"/>
      <c r="F21" s="409"/>
      <c r="G21" s="19">
        <v>138</v>
      </c>
      <c r="H21" s="20"/>
      <c r="I21" s="71">
        <v>9493630</v>
      </c>
      <c r="J21" s="71">
        <v>8807370</v>
      </c>
    </row>
    <row r="22" spans="1:10" s="2" customFormat="1" ht="13.5" customHeight="1">
      <c r="A22" s="409" t="s">
        <v>961</v>
      </c>
      <c r="B22" s="409"/>
      <c r="C22" s="409"/>
      <c r="D22" s="409"/>
      <c r="E22" s="409"/>
      <c r="F22" s="409"/>
      <c r="G22" s="19">
        <v>139</v>
      </c>
      <c r="H22" s="20"/>
      <c r="I22" s="71">
        <v>3462989</v>
      </c>
      <c r="J22" s="71">
        <v>3089009</v>
      </c>
    </row>
    <row r="23" spans="1:10" s="2" customFormat="1" ht="13.5" customHeight="1">
      <c r="A23" s="409" t="s">
        <v>962</v>
      </c>
      <c r="B23" s="409"/>
      <c r="C23" s="409"/>
      <c r="D23" s="409"/>
      <c r="E23" s="409"/>
      <c r="F23" s="409"/>
      <c r="G23" s="19">
        <v>140</v>
      </c>
      <c r="H23" s="20"/>
      <c r="I23" s="71">
        <v>2052706</v>
      </c>
      <c r="J23" s="71">
        <v>1848725</v>
      </c>
    </row>
    <row r="24" spans="1:10" s="2" customFormat="1" ht="13.5" customHeight="1">
      <c r="A24" s="383" t="s">
        <v>259</v>
      </c>
      <c r="B24" s="383"/>
      <c r="C24" s="383"/>
      <c r="D24" s="383"/>
      <c r="E24" s="383"/>
      <c r="F24" s="383"/>
      <c r="G24" s="19">
        <v>141</v>
      </c>
      <c r="H24" s="20"/>
      <c r="I24" s="71">
        <v>7682588</v>
      </c>
      <c r="J24" s="71">
        <v>7287009</v>
      </c>
    </row>
    <row r="25" spans="1:10" s="2" customFormat="1" ht="13.5" customHeight="1">
      <c r="A25" s="383" t="s">
        <v>260</v>
      </c>
      <c r="B25" s="383"/>
      <c r="C25" s="383"/>
      <c r="D25" s="383"/>
      <c r="E25" s="383"/>
      <c r="F25" s="383"/>
      <c r="G25" s="19">
        <v>142</v>
      </c>
      <c r="H25" s="20"/>
      <c r="I25" s="71">
        <v>17006825</v>
      </c>
      <c r="J25" s="71">
        <v>14813849</v>
      </c>
    </row>
    <row r="26" spans="1:12" s="2" customFormat="1" ht="13.5" customHeight="1">
      <c r="A26" s="383" t="s">
        <v>1840</v>
      </c>
      <c r="B26" s="383"/>
      <c r="C26" s="383"/>
      <c r="D26" s="383"/>
      <c r="E26" s="383"/>
      <c r="F26" s="383"/>
      <c r="G26" s="19">
        <v>143</v>
      </c>
      <c r="H26" s="20"/>
      <c r="I26" s="70">
        <f>SUM(I27:I28)</f>
        <v>480910</v>
      </c>
      <c r="J26" s="70">
        <f>SUM(J27:J28)</f>
        <v>1948572</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480910</v>
      </c>
      <c r="J28" s="71">
        <v>1948572</v>
      </c>
      <c r="L28" s="2" t="s">
        <v>2591</v>
      </c>
    </row>
    <row r="29" spans="1:12" s="2" customFormat="1" ht="13.5" customHeight="1">
      <c r="A29" s="383" t="s">
        <v>1841</v>
      </c>
      <c r="B29" s="383"/>
      <c r="C29" s="383"/>
      <c r="D29" s="383"/>
      <c r="E29" s="383"/>
      <c r="F29" s="383"/>
      <c r="G29" s="19">
        <v>146</v>
      </c>
      <c r="H29" s="20"/>
      <c r="I29" s="70">
        <f>SUM(I30:I35)</f>
        <v>0</v>
      </c>
      <c r="J29" s="70">
        <f>SUM(J30:J35)</f>
        <v>1500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v>1500</v>
      </c>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5045009</v>
      </c>
      <c r="J36" s="71">
        <v>2495339</v>
      </c>
    </row>
    <row r="37" spans="1:10" s="2" customFormat="1" ht="13.5" customHeight="1">
      <c r="A37" s="381" t="s">
        <v>1842</v>
      </c>
      <c r="B37" s="381"/>
      <c r="C37" s="381"/>
      <c r="D37" s="381"/>
      <c r="E37" s="381"/>
      <c r="F37" s="381"/>
      <c r="G37" s="19">
        <v>154</v>
      </c>
      <c r="H37" s="20"/>
      <c r="I37" s="70">
        <f>SUM(I38:I47)</f>
        <v>895</v>
      </c>
      <c r="J37" s="70">
        <f>SUM(J38:J47)</f>
        <v>29320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895</v>
      </c>
      <c r="J44" s="71">
        <v>29320</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2277109</v>
      </c>
      <c r="J48" s="70">
        <f>SUM(J49:J55)</f>
        <v>2103059</v>
      </c>
    </row>
    <row r="49" spans="1:10" s="2" customFormat="1" ht="13.5" customHeight="1">
      <c r="A49" s="383" t="s">
        <v>1424</v>
      </c>
      <c r="B49" s="383"/>
      <c r="C49" s="383"/>
      <c r="D49" s="383"/>
      <c r="E49" s="383"/>
      <c r="F49" s="383"/>
      <c r="G49" s="19">
        <v>166</v>
      </c>
      <c r="H49" s="20"/>
      <c r="I49" s="71">
        <v>514034</v>
      </c>
      <c r="J49" s="71">
        <v>445155</v>
      </c>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1743728</v>
      </c>
      <c r="J51" s="71">
        <v>1408436</v>
      </c>
    </row>
    <row r="52" spans="1:10" s="2" customFormat="1" ht="13.5" customHeight="1">
      <c r="A52" s="403" t="s">
        <v>1439</v>
      </c>
      <c r="B52" s="403"/>
      <c r="C52" s="403"/>
      <c r="D52" s="403"/>
      <c r="E52" s="403"/>
      <c r="F52" s="403"/>
      <c r="G52" s="19">
        <v>169</v>
      </c>
      <c r="H52" s="20"/>
      <c r="I52" s="71">
        <v>19347</v>
      </c>
      <c r="J52" s="71">
        <v>249468</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120519567</v>
      </c>
      <c r="J60" s="70">
        <f>J8+J37+J56+J57</f>
        <v>87649479</v>
      </c>
    </row>
    <row r="61" spans="1:10" s="2" customFormat="1" ht="13.5" customHeight="1">
      <c r="A61" s="381" t="s">
        <v>1845</v>
      </c>
      <c r="B61" s="381"/>
      <c r="C61" s="381"/>
      <c r="D61" s="381"/>
      <c r="E61" s="381"/>
      <c r="F61" s="381"/>
      <c r="G61" s="19">
        <v>178</v>
      </c>
      <c r="H61" s="20"/>
      <c r="I61" s="70">
        <f>I14+I48+I58+I59</f>
        <v>115141053</v>
      </c>
      <c r="J61" s="70">
        <f>J14+J48+J58+J59</f>
        <v>98896432</v>
      </c>
    </row>
    <row r="62" spans="1:12" s="2" customFormat="1" ht="13.5" customHeight="1">
      <c r="A62" s="381" t="s">
        <v>2581</v>
      </c>
      <c r="B62" s="381"/>
      <c r="C62" s="381"/>
      <c r="D62" s="381"/>
      <c r="E62" s="381"/>
      <c r="F62" s="381"/>
      <c r="G62" s="19">
        <v>179</v>
      </c>
      <c r="H62" s="20"/>
      <c r="I62" s="70">
        <f>I60-I61</f>
        <v>5378514</v>
      </c>
      <c r="J62" s="70">
        <f>J60-J61</f>
        <v>-11246953</v>
      </c>
      <c r="L62" s="2" t="s">
        <v>2591</v>
      </c>
    </row>
    <row r="63" spans="1:10" s="2" customFormat="1" ht="13.5" customHeight="1">
      <c r="A63" s="403" t="s">
        <v>2658</v>
      </c>
      <c r="B63" s="403"/>
      <c r="C63" s="403"/>
      <c r="D63" s="403"/>
      <c r="E63" s="403"/>
      <c r="F63" s="403"/>
      <c r="G63" s="19">
        <v>180</v>
      </c>
      <c r="H63" s="20"/>
      <c r="I63" s="70">
        <f>IF(I60&gt;I61,I60-I61,0)</f>
        <v>5378514</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11246953</v>
      </c>
    </row>
    <row r="65" spans="1:12" s="2" customFormat="1" ht="13.5" customHeight="1">
      <c r="A65" s="381" t="s">
        <v>2620</v>
      </c>
      <c r="B65" s="381"/>
      <c r="C65" s="381"/>
      <c r="D65" s="381"/>
      <c r="E65" s="381"/>
      <c r="F65" s="381"/>
      <c r="G65" s="19">
        <v>182</v>
      </c>
      <c r="H65" s="20"/>
      <c r="I65" s="71"/>
      <c r="J65" s="71">
        <v>-2401226</v>
      </c>
      <c r="L65" s="2" t="s">
        <v>2591</v>
      </c>
    </row>
    <row r="66" spans="1:12" s="2" customFormat="1" ht="13.5" customHeight="1">
      <c r="A66" s="381" t="s">
        <v>2582</v>
      </c>
      <c r="B66" s="381"/>
      <c r="C66" s="381"/>
      <c r="D66" s="381"/>
      <c r="E66" s="381"/>
      <c r="F66" s="381"/>
      <c r="G66" s="19">
        <v>183</v>
      </c>
      <c r="H66" s="20"/>
      <c r="I66" s="70">
        <f>I62-I65</f>
        <v>5378514</v>
      </c>
      <c r="J66" s="70">
        <f>J62-J65</f>
        <v>-8845727</v>
      </c>
      <c r="L66" s="2" t="s">
        <v>2591</v>
      </c>
    </row>
    <row r="67" spans="1:10" s="2" customFormat="1" ht="13.5" customHeight="1">
      <c r="A67" s="403" t="s">
        <v>779</v>
      </c>
      <c r="B67" s="403"/>
      <c r="C67" s="403"/>
      <c r="D67" s="403"/>
      <c r="E67" s="403"/>
      <c r="F67" s="403"/>
      <c r="G67" s="19">
        <v>184</v>
      </c>
      <c r="H67" s="20"/>
      <c r="I67" s="70">
        <f>IF(I66&gt;0,I66,0)</f>
        <v>5378514</v>
      </c>
      <c r="J67" s="70">
        <f>IF(J66&gt;0,J66,0)</f>
        <v>0</v>
      </c>
    </row>
    <row r="68" spans="1:10" s="2" customFormat="1" ht="13.5" customHeight="1">
      <c r="A68" s="404" t="s">
        <v>1472</v>
      </c>
      <c r="B68" s="404"/>
      <c r="C68" s="404"/>
      <c r="D68" s="404"/>
      <c r="E68" s="404"/>
      <c r="F68" s="404"/>
      <c r="G68" s="21">
        <v>185</v>
      </c>
      <c r="H68" s="22"/>
      <c r="I68" s="85">
        <f>IF(I66&lt;0,-I66,0)</f>
        <v>0</v>
      </c>
      <c r="J68" s="85">
        <f>IF(J66&lt;0,-J66,0)</f>
        <v>8845727</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8" activePane="bottomLeft" state="frozen"/>
      <selection pane="topLeft" activeCell="A1" sqref="A1"/>
      <selection pane="bottomLeft" activeCell="I82" sqref="I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07602786563; MARASKA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v>38386</v>
      </c>
      <c r="J11" s="77">
        <v>38386</v>
      </c>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v>23219294</v>
      </c>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v>12980659</v>
      </c>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v>13093559</v>
      </c>
      <c r="J23" s="96">
        <v>11157708</v>
      </c>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118701080</v>
      </c>
      <c r="J25" s="94">
        <v>83497374</v>
      </c>
    </row>
    <row r="26" spans="1:10" s="2" customFormat="1" ht="24.75" customHeight="1">
      <c r="A26" s="403" t="s">
        <v>2215</v>
      </c>
      <c r="B26" s="403"/>
      <c r="C26" s="403"/>
      <c r="D26" s="403"/>
      <c r="E26" s="403"/>
      <c r="F26" s="403"/>
      <c r="G26" s="443"/>
      <c r="H26" s="19">
        <v>232</v>
      </c>
      <c r="I26" s="77">
        <v>140162</v>
      </c>
      <c r="J26" s="77">
        <v>336277</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94789044</v>
      </c>
      <c r="J37" s="94">
        <v>61803589</v>
      </c>
    </row>
    <row r="38" spans="1:10" s="2" customFormat="1" ht="13.5" customHeight="1">
      <c r="A38" s="404" t="s">
        <v>241</v>
      </c>
      <c r="B38" s="404"/>
      <c r="C38" s="404"/>
      <c r="D38" s="404"/>
      <c r="E38" s="404"/>
      <c r="F38" s="404"/>
      <c r="G38" s="448"/>
      <c r="H38" s="21">
        <v>243</v>
      </c>
      <c r="I38" s="78">
        <v>24052198</v>
      </c>
      <c r="J38" s="78">
        <v>22030062</v>
      </c>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838853</v>
      </c>
      <c r="J43" s="77">
        <v>2903002</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2937530</v>
      </c>
      <c r="J50" s="77">
        <v>1787216</v>
      </c>
    </row>
    <row r="51" spans="1:10" s="2" customFormat="1" ht="24.75" customHeight="1">
      <c r="A51" s="403" t="s">
        <v>2219</v>
      </c>
      <c r="B51" s="403"/>
      <c r="C51" s="403"/>
      <c r="D51" s="403"/>
      <c r="E51" s="403"/>
      <c r="F51" s="403"/>
      <c r="G51" s="443"/>
      <c r="H51" s="19">
        <v>253</v>
      </c>
      <c r="I51" s="77">
        <v>98297</v>
      </c>
      <c r="J51" s="77">
        <v>90161</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v>505350</v>
      </c>
      <c r="J58" s="77">
        <v>2938</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330123</v>
      </c>
      <c r="J60" s="77">
        <v>377568</v>
      </c>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12181</v>
      </c>
      <c r="J62" s="77">
        <v>18710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959616</v>
      </c>
      <c r="J65" s="77">
        <v>700738</v>
      </c>
    </row>
    <row r="66" spans="1:10" s="2" customFormat="1" ht="13.5" customHeight="1">
      <c r="A66" s="444" t="s">
        <v>2903</v>
      </c>
      <c r="B66" s="444"/>
      <c r="C66" s="444"/>
      <c r="D66" s="444"/>
      <c r="E66" s="444"/>
      <c r="F66" s="444"/>
      <c r="G66" s="445"/>
      <c r="H66" s="19">
        <v>268</v>
      </c>
      <c r="I66" s="77">
        <v>8000</v>
      </c>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895</v>
      </c>
      <c r="J73" s="94">
        <v>29320</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1743727</v>
      </c>
      <c r="J76" s="78">
        <v>1408436</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3467147</v>
      </c>
      <c r="J78" s="228">
        <f>SUM(J79:J82)</f>
        <v>3667506</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372322</v>
      </c>
      <c r="J80" s="77">
        <v>3667506</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v>3094825</v>
      </c>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4" activePane="bottomLeft" state="frozen"/>
      <selection pane="topLeft" activeCell="A1" sqref="A1"/>
      <selection pane="bottomLeft" activeCell="G46" sqref="G46"/>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1</v>
      </c>
      <c r="R1" s="73" t="s">
        <v>539</v>
      </c>
    </row>
    <row r="2" spans="1:18" s="2" customFormat="1" ht="19.5" customHeight="1">
      <c r="A2" s="432" t="s">
        <v>1454</v>
      </c>
      <c r="B2" s="433"/>
      <c r="C2" s="433"/>
      <c r="D2" s="433"/>
      <c r="E2" s="433"/>
      <c r="F2" s="433"/>
      <c r="G2" s="433"/>
      <c r="H2" s="433"/>
      <c r="I2" s="454"/>
      <c r="J2" s="388" t="s">
        <v>2594</v>
      </c>
      <c r="Q2" s="74">
        <f>IF(OR(MIN(I8:I60)&lt;0,MAX(I8:I60)&gt;0),1,0)</f>
        <v>1</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1</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07602786563; MARASKA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v>5378514</v>
      </c>
      <c r="J9" s="142">
        <v>-11246953</v>
      </c>
    </row>
    <row r="10" spans="1:10" s="2" customFormat="1" ht="13.5" customHeight="1">
      <c r="A10" s="403" t="s">
        <v>238</v>
      </c>
      <c r="B10" s="403"/>
      <c r="C10" s="403"/>
      <c r="D10" s="403"/>
      <c r="E10" s="403"/>
      <c r="F10" s="403"/>
      <c r="G10" s="19">
        <v>2</v>
      </c>
      <c r="H10" s="23"/>
      <c r="I10" s="125">
        <f>SUM(I11:I18)</f>
        <v>10287229</v>
      </c>
      <c r="J10" s="125">
        <f>SUM(J11:J18)</f>
        <v>10953973</v>
      </c>
    </row>
    <row r="11" spans="1:10" s="2" customFormat="1" ht="13.5" customHeight="1">
      <c r="A11" s="444" t="s">
        <v>2335</v>
      </c>
      <c r="B11" s="444"/>
      <c r="C11" s="444"/>
      <c r="D11" s="444"/>
      <c r="E11" s="444"/>
      <c r="F11" s="444"/>
      <c r="G11" s="19">
        <v>3</v>
      </c>
      <c r="H11" s="23"/>
      <c r="I11" s="126">
        <v>7682588</v>
      </c>
      <c r="J11" s="126">
        <v>7287009</v>
      </c>
    </row>
    <row r="12" spans="1:10" s="2" customFormat="1" ht="24.75" customHeight="1">
      <c r="A12" s="444" t="s">
        <v>2910</v>
      </c>
      <c r="B12" s="444"/>
      <c r="C12" s="444"/>
      <c r="D12" s="444"/>
      <c r="E12" s="444"/>
      <c r="F12" s="444"/>
      <c r="G12" s="19">
        <v>4</v>
      </c>
      <c r="H12" s="23"/>
      <c r="I12" s="126">
        <v>0</v>
      </c>
      <c r="J12" s="126">
        <v>-125514</v>
      </c>
    </row>
    <row r="13" spans="1:10" s="2" customFormat="1" ht="24.75" customHeight="1">
      <c r="A13" s="444" t="s">
        <v>2911</v>
      </c>
      <c r="B13" s="444"/>
      <c r="C13" s="444"/>
      <c r="D13" s="444"/>
      <c r="E13" s="444"/>
      <c r="F13" s="444"/>
      <c r="G13" s="19">
        <v>5</v>
      </c>
      <c r="H13" s="23"/>
      <c r="I13" s="126">
        <v>396747</v>
      </c>
      <c r="J13" s="126">
        <v>1783230</v>
      </c>
    </row>
    <row r="14" spans="1:12" s="2" customFormat="1" ht="13.5" customHeight="1">
      <c r="A14" s="444" t="s">
        <v>2336</v>
      </c>
      <c r="B14" s="444"/>
      <c r="C14" s="444"/>
      <c r="D14" s="444"/>
      <c r="E14" s="444"/>
      <c r="F14" s="444"/>
      <c r="G14" s="19">
        <v>6</v>
      </c>
      <c r="H14" s="23"/>
      <c r="I14" s="126">
        <v>-895</v>
      </c>
      <c r="J14" s="126">
        <v>-29320</v>
      </c>
      <c r="L14" s="73"/>
    </row>
    <row r="15" spans="1:10" s="2" customFormat="1" ht="13.5" customHeight="1">
      <c r="A15" s="444" t="s">
        <v>2337</v>
      </c>
      <c r="B15" s="444"/>
      <c r="C15" s="444"/>
      <c r="D15" s="444"/>
      <c r="E15" s="444"/>
      <c r="F15" s="444"/>
      <c r="G15" s="19">
        <v>7</v>
      </c>
      <c r="H15" s="23"/>
      <c r="I15" s="126">
        <v>2189442</v>
      </c>
      <c r="J15" s="126">
        <v>1787600</v>
      </c>
    </row>
    <row r="16" spans="1:10" s="2" customFormat="1" ht="13.5" customHeight="1">
      <c r="A16" s="444" t="s">
        <v>2338</v>
      </c>
      <c r="B16" s="444"/>
      <c r="C16" s="444"/>
      <c r="D16" s="444"/>
      <c r="E16" s="444"/>
      <c r="F16" s="444"/>
      <c r="G16" s="19">
        <v>8</v>
      </c>
      <c r="H16" s="23"/>
      <c r="I16" s="126"/>
      <c r="J16" s="126">
        <v>1500</v>
      </c>
    </row>
    <row r="17" spans="1:10" s="2" customFormat="1" ht="13.5" customHeight="1">
      <c r="A17" s="444" t="s">
        <v>2339</v>
      </c>
      <c r="B17" s="444"/>
      <c r="C17" s="444"/>
      <c r="D17" s="444"/>
      <c r="E17" s="444"/>
      <c r="F17" s="444"/>
      <c r="G17" s="19">
        <v>9</v>
      </c>
      <c r="H17" s="23"/>
      <c r="I17" s="126">
        <v>19347</v>
      </c>
      <c r="J17" s="126">
        <v>249468</v>
      </c>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15665743</v>
      </c>
      <c r="J19" s="125">
        <f>J9+J10</f>
        <v>-292980</v>
      </c>
      <c r="N19" s="2">
        <f>IF(MIN(NT_I!I11:J11,NT_I!I15:J15,NT_I!I30:J36,NT_I!I59:J60)&lt;0,1,0)</f>
        <v>0</v>
      </c>
    </row>
    <row r="20" spans="1:10" s="2" customFormat="1" ht="13.5" customHeight="1">
      <c r="A20" s="403" t="s">
        <v>461</v>
      </c>
      <c r="B20" s="403"/>
      <c r="C20" s="403"/>
      <c r="D20" s="403"/>
      <c r="E20" s="403"/>
      <c r="F20" s="403"/>
      <c r="G20" s="19">
        <v>12</v>
      </c>
      <c r="H20" s="23"/>
      <c r="I20" s="125">
        <f>SUM(I21:I24)</f>
        <v>-2279547</v>
      </c>
      <c r="J20" s="125">
        <f>SUM(J21:J24)</f>
        <v>8150345</v>
      </c>
    </row>
    <row r="21" spans="1:10" s="2" customFormat="1" ht="13.5" customHeight="1">
      <c r="A21" s="444" t="s">
        <v>2052</v>
      </c>
      <c r="B21" s="444"/>
      <c r="C21" s="444"/>
      <c r="D21" s="444"/>
      <c r="E21" s="444"/>
      <c r="F21" s="444"/>
      <c r="G21" s="19">
        <v>13</v>
      </c>
      <c r="H21" s="23"/>
      <c r="I21" s="126">
        <v>3444569</v>
      </c>
      <c r="J21" s="126">
        <v>-8588081</v>
      </c>
    </row>
    <row r="22" spans="1:10" s="2" customFormat="1" ht="13.5" customHeight="1">
      <c r="A22" s="444" t="s">
        <v>2053</v>
      </c>
      <c r="B22" s="444"/>
      <c r="C22" s="444"/>
      <c r="D22" s="444"/>
      <c r="E22" s="444"/>
      <c r="F22" s="444"/>
      <c r="G22" s="19">
        <v>14</v>
      </c>
      <c r="H22" s="23"/>
      <c r="I22" s="126">
        <v>-5286591</v>
      </c>
      <c r="J22" s="126">
        <v>11276823</v>
      </c>
    </row>
    <row r="23" spans="1:10" s="2" customFormat="1" ht="13.5" customHeight="1">
      <c r="A23" s="444" t="s">
        <v>2054</v>
      </c>
      <c r="B23" s="444"/>
      <c r="C23" s="444"/>
      <c r="D23" s="444"/>
      <c r="E23" s="444"/>
      <c r="F23" s="444"/>
      <c r="G23" s="19">
        <v>15</v>
      </c>
      <c r="H23" s="23"/>
      <c r="I23" s="126">
        <v>-437525</v>
      </c>
      <c r="J23" s="126">
        <v>5461603</v>
      </c>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13386196</v>
      </c>
      <c r="J25" s="125">
        <f>J19+J20</f>
        <v>7857365</v>
      </c>
    </row>
    <row r="26" spans="1:10" s="2" customFormat="1" ht="13.5" customHeight="1">
      <c r="A26" s="403" t="s">
        <v>226</v>
      </c>
      <c r="B26" s="403"/>
      <c r="C26" s="403"/>
      <c r="D26" s="403"/>
      <c r="E26" s="403"/>
      <c r="F26" s="403"/>
      <c r="G26" s="19">
        <v>18</v>
      </c>
      <c r="H26" s="23"/>
      <c r="I26" s="126">
        <v>-2189442</v>
      </c>
      <c r="J26" s="126">
        <v>-1787600</v>
      </c>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11196754</v>
      </c>
      <c r="J28" s="127">
        <f>SUM(J25:J27)</f>
        <v>6069765</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v>1854622</v>
      </c>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v>895</v>
      </c>
      <c r="J32" s="77">
        <v>29320</v>
      </c>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895</v>
      </c>
      <c r="J36" s="86">
        <f>SUM(J30:J35)</f>
        <v>1883942</v>
      </c>
    </row>
    <row r="37" spans="1:10" s="2" customFormat="1" ht="13.5" customHeight="1">
      <c r="A37" s="403" t="s">
        <v>233</v>
      </c>
      <c r="B37" s="403"/>
      <c r="C37" s="403"/>
      <c r="D37" s="403"/>
      <c r="E37" s="403"/>
      <c r="F37" s="403"/>
      <c r="G37" s="19">
        <v>28</v>
      </c>
      <c r="H37" s="23"/>
      <c r="I37" s="77">
        <v>-372322</v>
      </c>
      <c r="J37" s="77">
        <v>-251482</v>
      </c>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-372322</v>
      </c>
      <c r="J42" s="86">
        <f>SUM(J37:J41)</f>
        <v>-251482</v>
      </c>
    </row>
    <row r="43" spans="1:10" s="2" customFormat="1" ht="13.5" customHeight="1">
      <c r="A43" s="449" t="s">
        <v>2511</v>
      </c>
      <c r="B43" s="449"/>
      <c r="C43" s="449"/>
      <c r="D43" s="449"/>
      <c r="E43" s="449"/>
      <c r="F43" s="449"/>
      <c r="G43" s="21">
        <v>34</v>
      </c>
      <c r="H43" s="24"/>
      <c r="I43" s="87">
        <f>I36+I42</f>
        <v>-371427</v>
      </c>
      <c r="J43" s="87">
        <f>J36+J42</f>
        <v>1632460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v>1000000</v>
      </c>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1000000</v>
      </c>
      <c r="J49" s="86">
        <f>SUM(J45:J48)</f>
        <v>0</v>
      </c>
    </row>
    <row r="50" spans="1:10" s="2" customFormat="1" ht="24.75" customHeight="1">
      <c r="A50" s="403" t="s">
        <v>1736</v>
      </c>
      <c r="B50" s="403"/>
      <c r="C50" s="403"/>
      <c r="D50" s="403"/>
      <c r="E50" s="403"/>
      <c r="F50" s="403"/>
      <c r="G50" s="19">
        <v>40</v>
      </c>
      <c r="H50" s="23"/>
      <c r="I50" s="77">
        <v>-10524715</v>
      </c>
      <c r="J50" s="77">
        <v>-6382477</v>
      </c>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v>-1170306</v>
      </c>
      <c r="J52" s="77">
        <v>-2354313</v>
      </c>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-11695021</v>
      </c>
      <c r="J55" s="86">
        <f>SUM(J50:J54)</f>
        <v>-8736790</v>
      </c>
    </row>
    <row r="56" spans="1:10" s="2" customFormat="1" ht="13.5" customHeight="1">
      <c r="A56" s="405" t="s">
        <v>9</v>
      </c>
      <c r="B56" s="405"/>
      <c r="C56" s="405"/>
      <c r="D56" s="405"/>
      <c r="E56" s="405"/>
      <c r="F56" s="405"/>
      <c r="G56" s="19">
        <v>46</v>
      </c>
      <c r="H56" s="23"/>
      <c r="I56" s="86">
        <f>I49+I55</f>
        <v>-10695021</v>
      </c>
      <c r="J56" s="86">
        <f>J49+J55</f>
        <v>-8736790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130306</v>
      </c>
      <c r="J58" s="86">
        <f>J28+J43+J56+J57</f>
        <v>-1034565</v>
      </c>
    </row>
    <row r="59" spans="1:10" s="2" customFormat="1" ht="13.5" customHeight="1">
      <c r="A59" s="405" t="s">
        <v>2429</v>
      </c>
      <c r="B59" s="405"/>
      <c r="C59" s="405"/>
      <c r="D59" s="405"/>
      <c r="E59" s="405"/>
      <c r="F59" s="405"/>
      <c r="G59" s="19">
        <v>49</v>
      </c>
      <c r="H59" s="23"/>
      <c r="I59" s="77">
        <v>928419</v>
      </c>
      <c r="J59" s="77">
        <v>1058725</v>
      </c>
    </row>
    <row r="60" spans="1:18" s="2" customFormat="1" ht="13.5" customHeight="1">
      <c r="A60" s="449" t="s">
        <v>1734</v>
      </c>
      <c r="B60" s="449"/>
      <c r="C60" s="449"/>
      <c r="D60" s="449"/>
      <c r="E60" s="449"/>
      <c r="F60" s="449"/>
      <c r="G60" s="21">
        <v>50</v>
      </c>
      <c r="H60" s="24"/>
      <c r="I60" s="87">
        <f>I59+I58</f>
        <v>1058725</v>
      </c>
      <c r="J60" s="87">
        <f>J59+J58</f>
        <v>24160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07602786563; MARASKA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AE64"/>
  <sheetViews>
    <sheetView showGridLines="0" showRowColHeaders="0" zoomScalePageLayoutView="0" workbookViewId="0" topLeftCell="B1">
      <pane ySplit="1" topLeftCell="A10" activePane="bottomLeft" state="frozen"/>
      <selection pane="topLeft" activeCell="A1" sqref="A1"/>
      <selection pane="bottomLeft" activeCell="U42" sqref="U42"/>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1</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07602786563; MARASKA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v>99918350</v>
      </c>
      <c r="J10" s="25">
        <v>36199953</v>
      </c>
      <c r="K10" s="25">
        <v>0</v>
      </c>
      <c r="L10" s="25">
        <v>0</v>
      </c>
      <c r="M10" s="25">
        <v>0</v>
      </c>
      <c r="N10" s="25">
        <v>0</v>
      </c>
      <c r="O10" s="25">
        <v>0</v>
      </c>
      <c r="P10" s="25">
        <v>0</v>
      </c>
      <c r="Q10" s="25">
        <v>0</v>
      </c>
      <c r="R10" s="25">
        <v>0</v>
      </c>
      <c r="S10" s="25">
        <v>0</v>
      </c>
      <c r="T10" s="25">
        <v>-59753879</v>
      </c>
      <c r="U10" s="25">
        <v>18740576</v>
      </c>
      <c r="V10" s="207">
        <f>SUM(I10:L10)-M10+SUM(N10:U10)</f>
        <v>95105000</v>
      </c>
      <c r="W10" s="25">
        <v>0</v>
      </c>
      <c r="X10" s="207">
        <f>W10+V10</f>
        <v>95105000</v>
      </c>
      <c r="AB10" s="139"/>
      <c r="AC10" s="139"/>
      <c r="AD10" s="139"/>
      <c r="AE10" s="139"/>
    </row>
    <row r="11" spans="1:31" s="3" customFormat="1" ht="13.5" customHeight="1">
      <c r="A11" s="458" t="s">
        <v>1462</v>
      </c>
      <c r="B11" s="458"/>
      <c r="C11" s="458"/>
      <c r="D11" s="458"/>
      <c r="E11" s="458"/>
      <c r="F11" s="458"/>
      <c r="G11" s="204">
        <v>2</v>
      </c>
      <c r="H11" s="132"/>
      <c r="I11" s="25">
        <v>0</v>
      </c>
      <c r="J11" s="25">
        <v>0</v>
      </c>
      <c r="K11" s="25">
        <v>0</v>
      </c>
      <c r="L11" s="25">
        <v>0</v>
      </c>
      <c r="M11" s="25">
        <v>0</v>
      </c>
      <c r="N11" s="25">
        <v>0</v>
      </c>
      <c r="O11" s="25">
        <v>0</v>
      </c>
      <c r="P11" s="25">
        <v>0</v>
      </c>
      <c r="Q11" s="25">
        <v>0</v>
      </c>
      <c r="R11" s="25">
        <v>0</v>
      </c>
      <c r="S11" s="25">
        <v>0</v>
      </c>
      <c r="T11" s="25">
        <v>0</v>
      </c>
      <c r="U11" s="25">
        <v>0</v>
      </c>
      <c r="V11" s="207">
        <f aca="true" t="shared" si="0" ref="V11:V32">SUM(I11:L11)-M11+SUM(N11:U11)</f>
        <v>0</v>
      </c>
      <c r="W11" s="25">
        <v>0</v>
      </c>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v>0</v>
      </c>
      <c r="J12" s="25">
        <v>-36199953</v>
      </c>
      <c r="K12" s="25">
        <v>0</v>
      </c>
      <c r="L12" s="25">
        <v>0</v>
      </c>
      <c r="M12" s="25">
        <v>0</v>
      </c>
      <c r="N12" s="25">
        <v>0</v>
      </c>
      <c r="O12" s="25">
        <v>0</v>
      </c>
      <c r="P12" s="25">
        <v>0</v>
      </c>
      <c r="Q12" s="25">
        <v>0</v>
      </c>
      <c r="R12" s="25">
        <v>0</v>
      </c>
      <c r="S12" s="25">
        <v>0</v>
      </c>
      <c r="T12" s="25">
        <v>-10867286</v>
      </c>
      <c r="U12" s="25">
        <v>0</v>
      </c>
      <c r="V12" s="207">
        <f t="shared" si="0"/>
        <v>-47067239</v>
      </c>
      <c r="W12" s="25">
        <v>0</v>
      </c>
      <c r="X12" s="207">
        <f t="shared" si="1"/>
        <v>-47067239</v>
      </c>
      <c r="AB12" s="140"/>
      <c r="AC12" s="140"/>
      <c r="AD12" s="140"/>
      <c r="AE12" s="139"/>
    </row>
    <row r="13" spans="1:31" s="3" customFormat="1" ht="13.5" customHeight="1">
      <c r="A13" s="463" t="s">
        <v>1464</v>
      </c>
      <c r="B13" s="463"/>
      <c r="C13" s="463"/>
      <c r="D13" s="463"/>
      <c r="E13" s="463"/>
      <c r="F13" s="463"/>
      <c r="G13" s="204">
        <v>4</v>
      </c>
      <c r="H13" s="132"/>
      <c r="I13" s="207">
        <f>SUM(I10:I12)</f>
        <v>99918350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-70621165</v>
      </c>
      <c r="U13" s="207">
        <f t="shared" si="2"/>
        <v>18740576</v>
      </c>
      <c r="V13" s="207">
        <f t="shared" si="0"/>
        <v>48037761</v>
      </c>
      <c r="W13" s="207">
        <f>SUM(W10:W12)</f>
        <v>0</v>
      </c>
      <c r="X13" s="207">
        <f t="shared" si="1"/>
        <v>48037761</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5378514</v>
      </c>
      <c r="V14" s="207">
        <f t="shared" si="0"/>
        <v>5378514</v>
      </c>
      <c r="W14" s="25">
        <v>0</v>
      </c>
      <c r="X14" s="207">
        <f t="shared" si="1"/>
        <v>5378514</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v>0</v>
      </c>
      <c r="P15" s="217"/>
      <c r="Q15" s="217"/>
      <c r="R15" s="217"/>
      <c r="S15" s="217"/>
      <c r="T15" s="217"/>
      <c r="U15" s="217"/>
      <c r="V15" s="207">
        <f t="shared" si="0"/>
        <v>0</v>
      </c>
      <c r="W15" s="25">
        <v>0</v>
      </c>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v>0</v>
      </c>
      <c r="Q16" s="217"/>
      <c r="R16" s="217"/>
      <c r="S16" s="217"/>
      <c r="T16" s="25">
        <v>0</v>
      </c>
      <c r="U16" s="25">
        <v>0</v>
      </c>
      <c r="V16" s="207">
        <f t="shared" si="0"/>
        <v>0</v>
      </c>
      <c r="W16" s="25">
        <v>0</v>
      </c>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v>0</v>
      </c>
      <c r="R17" s="217"/>
      <c r="S17" s="217"/>
      <c r="T17" s="25">
        <v>0</v>
      </c>
      <c r="U17" s="25">
        <v>0</v>
      </c>
      <c r="V17" s="207">
        <f t="shared" si="0"/>
        <v>0</v>
      </c>
      <c r="W17" s="25">
        <v>0</v>
      </c>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v>0</v>
      </c>
      <c r="S18" s="217"/>
      <c r="T18" s="25">
        <v>0</v>
      </c>
      <c r="U18" s="25">
        <v>0</v>
      </c>
      <c r="V18" s="207">
        <f t="shared" si="0"/>
        <v>0</v>
      </c>
      <c r="W18" s="25">
        <v>0</v>
      </c>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v>0</v>
      </c>
      <c r="T19" s="25">
        <v>0</v>
      </c>
      <c r="U19" s="25">
        <v>0</v>
      </c>
      <c r="V19" s="207">
        <f t="shared" si="0"/>
        <v>0</v>
      </c>
      <c r="W19" s="25">
        <v>0</v>
      </c>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v>0</v>
      </c>
      <c r="P20" s="25">
        <v>0</v>
      </c>
      <c r="Q20" s="25">
        <v>0</v>
      </c>
      <c r="R20" s="25">
        <v>0</v>
      </c>
      <c r="S20" s="25">
        <v>0</v>
      </c>
      <c r="T20" s="25">
        <v>0</v>
      </c>
      <c r="U20" s="25">
        <v>0</v>
      </c>
      <c r="V20" s="207">
        <f t="shared" si="0"/>
        <v>0</v>
      </c>
      <c r="W20" s="25">
        <v>0</v>
      </c>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v>0</v>
      </c>
      <c r="P21" s="25">
        <v>0</v>
      </c>
      <c r="Q21" s="25">
        <v>0</v>
      </c>
      <c r="R21" s="25">
        <v>0</v>
      </c>
      <c r="S21" s="25">
        <v>0</v>
      </c>
      <c r="T21" s="25">
        <v>0</v>
      </c>
      <c r="U21" s="25">
        <v>0</v>
      </c>
      <c r="V21" s="207">
        <f t="shared" si="0"/>
        <v>0</v>
      </c>
      <c r="W21" s="25">
        <v>0</v>
      </c>
      <c r="X21" s="207">
        <f t="shared" si="1"/>
        <v>0</v>
      </c>
      <c r="AB21" s="141"/>
      <c r="AC21" s="141"/>
      <c r="AD21" s="141"/>
      <c r="AE21" s="139"/>
    </row>
    <row r="22" spans="1:29" s="3" customFormat="1" ht="13.5" customHeight="1">
      <c r="A22" s="458" t="s">
        <v>826</v>
      </c>
      <c r="B22" s="458"/>
      <c r="C22" s="458"/>
      <c r="D22" s="458"/>
      <c r="E22" s="458"/>
      <c r="F22" s="458"/>
      <c r="G22" s="204">
        <v>13</v>
      </c>
      <c r="H22" s="132"/>
      <c r="I22" s="25">
        <v>0</v>
      </c>
      <c r="J22" s="25">
        <v>0</v>
      </c>
      <c r="K22" s="25">
        <v>0</v>
      </c>
      <c r="L22" s="25">
        <v>0</v>
      </c>
      <c r="M22" s="25">
        <v>0</v>
      </c>
      <c r="N22" s="25">
        <v>0</v>
      </c>
      <c r="O22" s="25">
        <v>0</v>
      </c>
      <c r="P22" s="25">
        <v>0</v>
      </c>
      <c r="Q22" s="25">
        <v>0</v>
      </c>
      <c r="R22" s="25">
        <v>0</v>
      </c>
      <c r="S22" s="25">
        <v>0</v>
      </c>
      <c r="T22" s="25">
        <v>0</v>
      </c>
      <c r="U22" s="25">
        <v>0</v>
      </c>
      <c r="V22" s="207">
        <f t="shared" si="0"/>
        <v>0</v>
      </c>
      <c r="W22" s="25">
        <v>0</v>
      </c>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v>0</v>
      </c>
      <c r="P23" s="25">
        <v>0</v>
      </c>
      <c r="Q23" s="25">
        <v>0</v>
      </c>
      <c r="R23" s="25">
        <v>0</v>
      </c>
      <c r="S23" s="25">
        <v>0</v>
      </c>
      <c r="T23" s="25">
        <v>0</v>
      </c>
      <c r="U23" s="25">
        <v>0</v>
      </c>
      <c r="V23" s="207">
        <f t="shared" si="0"/>
        <v>0</v>
      </c>
      <c r="W23" s="25">
        <v>0</v>
      </c>
      <c r="X23" s="207">
        <f t="shared" si="1"/>
        <v>0</v>
      </c>
      <c r="AB23" s="139"/>
      <c r="AC23" s="134"/>
    </row>
    <row r="24" spans="1:29" s="3" customFormat="1" ht="24.75" customHeight="1">
      <c r="A24" s="458" t="s">
        <v>828</v>
      </c>
      <c r="B24" s="458"/>
      <c r="C24" s="458"/>
      <c r="D24" s="458"/>
      <c r="E24" s="458"/>
      <c r="F24" s="458"/>
      <c r="G24" s="204">
        <v>15</v>
      </c>
      <c r="H24" s="132"/>
      <c r="I24" s="25">
        <v>0</v>
      </c>
      <c r="J24" s="25">
        <v>0</v>
      </c>
      <c r="K24" s="25">
        <v>0</v>
      </c>
      <c r="L24" s="25">
        <v>0</v>
      </c>
      <c r="M24" s="25">
        <v>0</v>
      </c>
      <c r="N24" s="25">
        <v>0</v>
      </c>
      <c r="O24" s="25">
        <v>0</v>
      </c>
      <c r="P24" s="25">
        <v>0</v>
      </c>
      <c r="Q24" s="25">
        <v>0</v>
      </c>
      <c r="R24" s="25">
        <v>0</v>
      </c>
      <c r="S24" s="25">
        <v>0</v>
      </c>
      <c r="T24" s="25">
        <v>0</v>
      </c>
      <c r="U24" s="25">
        <v>0</v>
      </c>
      <c r="V24" s="207">
        <f t="shared" si="0"/>
        <v>0</v>
      </c>
      <c r="W24" s="25">
        <v>0</v>
      </c>
      <c r="X24" s="207">
        <f t="shared" si="1"/>
        <v>0</v>
      </c>
      <c r="AB24" s="139"/>
      <c r="AC24" s="134"/>
    </row>
    <row r="25" spans="1:29" s="3" customFormat="1" ht="24.75" customHeight="1">
      <c r="A25" s="458" t="s">
        <v>829</v>
      </c>
      <c r="B25" s="458"/>
      <c r="C25" s="458"/>
      <c r="D25" s="458"/>
      <c r="E25" s="458"/>
      <c r="F25" s="458"/>
      <c r="G25" s="204">
        <v>16</v>
      </c>
      <c r="H25" s="132"/>
      <c r="I25" s="25">
        <v>0</v>
      </c>
      <c r="J25" s="25">
        <v>0</v>
      </c>
      <c r="K25" s="25">
        <v>0</v>
      </c>
      <c r="L25" s="25">
        <v>0</v>
      </c>
      <c r="M25" s="25">
        <v>0</v>
      </c>
      <c r="N25" s="25">
        <v>0</v>
      </c>
      <c r="O25" s="25">
        <v>0</v>
      </c>
      <c r="P25" s="25">
        <v>0</v>
      </c>
      <c r="Q25" s="25">
        <v>0</v>
      </c>
      <c r="R25" s="25">
        <v>0</v>
      </c>
      <c r="S25" s="25">
        <v>0</v>
      </c>
      <c r="T25" s="25">
        <v>0</v>
      </c>
      <c r="U25" s="25">
        <v>0</v>
      </c>
      <c r="V25" s="207">
        <f t="shared" si="0"/>
        <v>0</v>
      </c>
      <c r="W25" s="25">
        <v>0</v>
      </c>
      <c r="X25" s="207">
        <f t="shared" si="1"/>
        <v>0</v>
      </c>
      <c r="AB25" s="139"/>
      <c r="AC25" s="134"/>
    </row>
    <row r="26" spans="1:29" s="3" customFormat="1" ht="24.75" customHeight="1">
      <c r="A26" s="458" t="s">
        <v>830</v>
      </c>
      <c r="B26" s="458"/>
      <c r="C26" s="458"/>
      <c r="D26" s="458"/>
      <c r="E26" s="458"/>
      <c r="F26" s="458"/>
      <c r="G26" s="204">
        <v>17</v>
      </c>
      <c r="H26" s="132"/>
      <c r="I26" s="25">
        <v>0</v>
      </c>
      <c r="J26" s="25">
        <v>0</v>
      </c>
      <c r="K26" s="25">
        <v>0</v>
      </c>
      <c r="L26" s="25">
        <v>0</v>
      </c>
      <c r="M26" s="25">
        <v>0</v>
      </c>
      <c r="N26" s="25">
        <v>0</v>
      </c>
      <c r="O26" s="25">
        <v>0</v>
      </c>
      <c r="P26" s="25">
        <v>0</v>
      </c>
      <c r="Q26" s="25">
        <v>0</v>
      </c>
      <c r="R26" s="25">
        <v>0</v>
      </c>
      <c r="S26" s="25">
        <v>0</v>
      </c>
      <c r="T26" s="25">
        <v>0</v>
      </c>
      <c r="U26" s="25">
        <v>0</v>
      </c>
      <c r="V26" s="207">
        <f t="shared" si="0"/>
        <v>0</v>
      </c>
      <c r="W26" s="25">
        <v>0</v>
      </c>
      <c r="X26" s="207">
        <f t="shared" si="1"/>
        <v>0</v>
      </c>
      <c r="AB26" s="139"/>
      <c r="AC26" s="134"/>
    </row>
    <row r="27" spans="1:28" ht="13.5" customHeight="1">
      <c r="A27" s="458" t="s">
        <v>831</v>
      </c>
      <c r="B27" s="458"/>
      <c r="C27" s="458"/>
      <c r="D27" s="458"/>
      <c r="E27" s="458"/>
      <c r="F27" s="458"/>
      <c r="G27" s="204">
        <v>18</v>
      </c>
      <c r="H27" s="132"/>
      <c r="I27" s="25">
        <v>0</v>
      </c>
      <c r="J27" s="25">
        <v>0</v>
      </c>
      <c r="K27" s="25">
        <v>0</v>
      </c>
      <c r="L27" s="25">
        <v>0</v>
      </c>
      <c r="M27" s="25">
        <v>0</v>
      </c>
      <c r="N27" s="25">
        <v>0</v>
      </c>
      <c r="O27" s="25">
        <v>0</v>
      </c>
      <c r="P27" s="25">
        <v>0</v>
      </c>
      <c r="Q27" s="25">
        <v>0</v>
      </c>
      <c r="R27" s="25">
        <v>0</v>
      </c>
      <c r="S27" s="25">
        <v>0</v>
      </c>
      <c r="T27" s="25">
        <v>0</v>
      </c>
      <c r="U27" s="25">
        <v>0</v>
      </c>
      <c r="V27" s="207">
        <f t="shared" si="0"/>
        <v>0</v>
      </c>
      <c r="W27" s="25">
        <v>0</v>
      </c>
      <c r="X27" s="207">
        <f t="shared" si="1"/>
        <v>0</v>
      </c>
      <c r="AB27" s="139"/>
    </row>
    <row r="28" spans="1:28" ht="13.5" customHeight="1">
      <c r="A28" s="458" t="s">
        <v>832</v>
      </c>
      <c r="B28" s="458"/>
      <c r="C28" s="458"/>
      <c r="D28" s="458"/>
      <c r="E28" s="458"/>
      <c r="F28" s="458"/>
      <c r="G28" s="204">
        <v>19</v>
      </c>
      <c r="H28" s="132"/>
      <c r="I28" s="25">
        <v>0</v>
      </c>
      <c r="J28" s="25">
        <v>0</v>
      </c>
      <c r="K28" s="25">
        <v>0</v>
      </c>
      <c r="L28" s="25">
        <v>0</v>
      </c>
      <c r="M28" s="25">
        <v>0</v>
      </c>
      <c r="N28" s="25">
        <v>0</v>
      </c>
      <c r="O28" s="25">
        <v>0</v>
      </c>
      <c r="P28" s="25">
        <v>0</v>
      </c>
      <c r="Q28" s="25">
        <v>0</v>
      </c>
      <c r="R28" s="25">
        <v>0</v>
      </c>
      <c r="S28" s="25">
        <v>0</v>
      </c>
      <c r="T28" s="25">
        <v>0</v>
      </c>
      <c r="U28" s="25">
        <v>0</v>
      </c>
      <c r="V28" s="207">
        <f t="shared" si="0"/>
        <v>0</v>
      </c>
      <c r="W28" s="25">
        <v>0</v>
      </c>
      <c r="X28" s="207">
        <f t="shared" si="1"/>
        <v>0</v>
      </c>
      <c r="AB28" s="139"/>
    </row>
    <row r="29" spans="1:28" ht="13.5" customHeight="1">
      <c r="A29" s="458" t="s">
        <v>833</v>
      </c>
      <c r="B29" s="458"/>
      <c r="C29" s="458"/>
      <c r="D29" s="458"/>
      <c r="E29" s="458"/>
      <c r="F29" s="458"/>
      <c r="G29" s="204">
        <v>20</v>
      </c>
      <c r="H29" s="132"/>
      <c r="I29" s="25">
        <v>0</v>
      </c>
      <c r="J29" s="25">
        <v>0</v>
      </c>
      <c r="K29" s="25">
        <v>0</v>
      </c>
      <c r="L29" s="25">
        <v>0</v>
      </c>
      <c r="M29" s="25">
        <v>0</v>
      </c>
      <c r="N29" s="25">
        <v>0</v>
      </c>
      <c r="O29" s="25">
        <v>0</v>
      </c>
      <c r="P29" s="25">
        <v>0</v>
      </c>
      <c r="Q29" s="25">
        <v>0</v>
      </c>
      <c r="R29" s="25">
        <v>0</v>
      </c>
      <c r="S29" s="25">
        <v>0</v>
      </c>
      <c r="T29" s="25">
        <v>0</v>
      </c>
      <c r="U29" s="25">
        <v>0</v>
      </c>
      <c r="V29" s="207">
        <f t="shared" si="0"/>
        <v>0</v>
      </c>
      <c r="W29" s="25">
        <v>0</v>
      </c>
      <c r="X29" s="207">
        <f t="shared" si="1"/>
        <v>0</v>
      </c>
      <c r="AB29" s="139"/>
    </row>
    <row r="30" spans="1:28" ht="13.5" customHeight="1">
      <c r="A30" s="458" t="s">
        <v>834</v>
      </c>
      <c r="B30" s="458"/>
      <c r="C30" s="458"/>
      <c r="D30" s="458"/>
      <c r="E30" s="458"/>
      <c r="F30" s="458"/>
      <c r="G30" s="204">
        <v>21</v>
      </c>
      <c r="H30" s="132"/>
      <c r="I30" s="25">
        <v>0</v>
      </c>
      <c r="J30" s="25">
        <v>0</v>
      </c>
      <c r="K30" s="25">
        <v>0</v>
      </c>
      <c r="L30" s="25">
        <v>0</v>
      </c>
      <c r="M30" s="25">
        <v>0</v>
      </c>
      <c r="N30" s="25">
        <v>0</v>
      </c>
      <c r="O30" s="25">
        <v>0</v>
      </c>
      <c r="P30" s="25">
        <v>0</v>
      </c>
      <c r="Q30" s="25">
        <v>0</v>
      </c>
      <c r="R30" s="25">
        <v>0</v>
      </c>
      <c r="S30" s="25">
        <v>0</v>
      </c>
      <c r="T30" s="25">
        <v>18740576</v>
      </c>
      <c r="U30" s="25">
        <v>-18740576</v>
      </c>
      <c r="V30" s="207">
        <f t="shared" si="0"/>
        <v>0</v>
      </c>
      <c r="W30" s="25">
        <v>0</v>
      </c>
      <c r="X30" s="207">
        <f t="shared" si="1"/>
        <v>0</v>
      </c>
      <c r="AB30" s="139"/>
    </row>
    <row r="31" spans="1:31" ht="13.5" customHeight="1">
      <c r="A31" s="458" t="s">
        <v>835</v>
      </c>
      <c r="B31" s="458"/>
      <c r="C31" s="458"/>
      <c r="D31" s="458"/>
      <c r="E31" s="458"/>
      <c r="F31" s="458"/>
      <c r="G31" s="204">
        <v>22</v>
      </c>
      <c r="H31" s="132"/>
      <c r="I31" s="25">
        <v>0</v>
      </c>
      <c r="J31" s="25">
        <v>0</v>
      </c>
      <c r="K31" s="25">
        <v>0</v>
      </c>
      <c r="L31" s="25">
        <v>0</v>
      </c>
      <c r="M31" s="25">
        <v>0</v>
      </c>
      <c r="N31" s="25">
        <v>0</v>
      </c>
      <c r="O31" s="25">
        <v>0</v>
      </c>
      <c r="P31" s="25">
        <v>0</v>
      </c>
      <c r="Q31" s="25">
        <v>0</v>
      </c>
      <c r="R31" s="25">
        <v>0</v>
      </c>
      <c r="S31" s="25">
        <v>0</v>
      </c>
      <c r="T31" s="25">
        <v>0</v>
      </c>
      <c r="U31" s="25">
        <v>0</v>
      </c>
      <c r="V31" s="207">
        <f t="shared" si="0"/>
        <v>0</v>
      </c>
      <c r="W31" s="25">
        <v>0</v>
      </c>
      <c r="X31" s="207">
        <f t="shared" si="1"/>
        <v>0</v>
      </c>
      <c r="AE31" s="139"/>
    </row>
    <row r="32" spans="1:31" ht="15" customHeight="1">
      <c r="A32" s="459" t="s">
        <v>2562</v>
      </c>
      <c r="B32" s="459"/>
      <c r="C32" s="459"/>
      <c r="D32" s="459"/>
      <c r="E32" s="459"/>
      <c r="F32" s="459"/>
      <c r="G32" s="205">
        <v>23</v>
      </c>
      <c r="H32" s="133"/>
      <c r="I32" s="206">
        <f>SUM(I13:I31)</f>
        <v>99918350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-51880589</v>
      </c>
      <c r="U32" s="206">
        <f t="shared" si="3"/>
        <v>5378514</v>
      </c>
      <c r="V32" s="206">
        <f t="shared" si="0"/>
        <v>53416275</v>
      </c>
      <c r="W32" s="206">
        <f>SUM(W13:W31)</f>
        <v>0</v>
      </c>
      <c r="X32" s="206">
        <f t="shared" si="1"/>
        <v>53416275</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v>99918350</v>
      </c>
      <c r="J38" s="25">
        <v>0</v>
      </c>
      <c r="K38" s="25">
        <v>0</v>
      </c>
      <c r="L38" s="25">
        <v>0</v>
      </c>
      <c r="M38" s="25">
        <v>0</v>
      </c>
      <c r="N38" s="25">
        <v>0</v>
      </c>
      <c r="O38" s="25">
        <v>0</v>
      </c>
      <c r="P38" s="25">
        <v>0</v>
      </c>
      <c r="Q38" s="25">
        <v>0</v>
      </c>
      <c r="R38" s="25">
        <v>0</v>
      </c>
      <c r="S38" s="25">
        <v>0</v>
      </c>
      <c r="T38" s="25">
        <v>-51880589</v>
      </c>
      <c r="U38" s="25">
        <v>5378514</v>
      </c>
      <c r="V38" s="207">
        <f aca="true" t="shared" si="10" ref="V38:V60">SUM(I38:L38)-M38+SUM(N38:U38)</f>
        <v>53416275</v>
      </c>
      <c r="W38" s="25">
        <v>0</v>
      </c>
      <c r="X38" s="207">
        <f t="shared" si="1"/>
        <v>53416275</v>
      </c>
      <c r="AB38" s="139"/>
    </row>
    <row r="39" spans="1:28" ht="13.5" customHeight="1">
      <c r="A39" s="458" t="s">
        <v>1462</v>
      </c>
      <c r="B39" s="458"/>
      <c r="C39" s="458"/>
      <c r="D39" s="458"/>
      <c r="E39" s="458"/>
      <c r="F39" s="458"/>
      <c r="G39" s="204">
        <v>28</v>
      </c>
      <c r="H39" s="132"/>
      <c r="I39" s="25">
        <v>0</v>
      </c>
      <c r="J39" s="25">
        <v>0</v>
      </c>
      <c r="K39" s="25">
        <v>0</v>
      </c>
      <c r="L39" s="25">
        <v>0</v>
      </c>
      <c r="M39" s="25">
        <v>0</v>
      </c>
      <c r="N39" s="25">
        <v>0</v>
      </c>
      <c r="O39" s="25">
        <v>0</v>
      </c>
      <c r="P39" s="25">
        <v>0</v>
      </c>
      <c r="Q39" s="25">
        <v>0</v>
      </c>
      <c r="R39" s="25">
        <v>0</v>
      </c>
      <c r="S39" s="25">
        <v>0</v>
      </c>
      <c r="T39" s="25">
        <v>0</v>
      </c>
      <c r="U39" s="25">
        <v>0</v>
      </c>
      <c r="V39" s="207">
        <f t="shared" si="10"/>
        <v>0</v>
      </c>
      <c r="W39" s="25">
        <v>0</v>
      </c>
      <c r="X39" s="207">
        <f t="shared" si="1"/>
        <v>0</v>
      </c>
      <c r="AB39" s="139"/>
    </row>
    <row r="40" spans="1:28" ht="13.5" customHeight="1">
      <c r="A40" s="458" t="s">
        <v>1463</v>
      </c>
      <c r="B40" s="458"/>
      <c r="C40" s="458"/>
      <c r="D40" s="458"/>
      <c r="E40" s="458"/>
      <c r="F40" s="458"/>
      <c r="G40" s="204">
        <v>29</v>
      </c>
      <c r="H40" s="132"/>
      <c r="I40" s="25">
        <v>0</v>
      </c>
      <c r="J40" s="25">
        <v>0</v>
      </c>
      <c r="K40" s="25">
        <v>0</v>
      </c>
      <c r="L40" s="25">
        <v>0</v>
      </c>
      <c r="M40" s="25">
        <v>0</v>
      </c>
      <c r="N40" s="25">
        <v>0</v>
      </c>
      <c r="O40" s="25">
        <v>0</v>
      </c>
      <c r="P40" s="25">
        <v>0</v>
      </c>
      <c r="Q40" s="25">
        <v>0</v>
      </c>
      <c r="R40" s="25">
        <v>0</v>
      </c>
      <c r="S40" s="25">
        <v>0</v>
      </c>
      <c r="T40" s="25">
        <v>0</v>
      </c>
      <c r="U40" s="25">
        <v>0</v>
      </c>
      <c r="V40" s="207">
        <f t="shared" si="10"/>
        <v>0</v>
      </c>
      <c r="W40" s="25">
        <v>0</v>
      </c>
      <c r="X40" s="207">
        <f t="shared" si="1"/>
        <v>0</v>
      </c>
      <c r="AB40" s="139"/>
    </row>
    <row r="41" spans="1:31" ht="13.5" customHeight="1">
      <c r="A41" s="463" t="s">
        <v>837</v>
      </c>
      <c r="B41" s="463"/>
      <c r="C41" s="463"/>
      <c r="D41" s="463"/>
      <c r="E41" s="463"/>
      <c r="F41" s="463"/>
      <c r="G41" s="204">
        <v>30</v>
      </c>
      <c r="H41" s="132"/>
      <c r="I41" s="207">
        <f aca="true" t="shared" si="11" ref="I41:U41">SUM(I38:I40)</f>
        <v>99918350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-51880589</v>
      </c>
      <c r="U41" s="207">
        <f t="shared" si="11"/>
        <v>5378514</v>
      </c>
      <c r="V41" s="207">
        <f t="shared" si="10"/>
        <v>53416275</v>
      </c>
      <c r="W41" s="207">
        <f>SUM(W38:W40)</f>
        <v>0</v>
      </c>
      <c r="X41" s="207">
        <f>W41+V41</f>
        <v>53416275</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-8845727</v>
      </c>
      <c r="V42" s="207">
        <f t="shared" si="10"/>
        <v>-8845727</v>
      </c>
      <c r="W42" s="25">
        <v>0</v>
      </c>
      <c r="X42" s="207">
        <f t="shared" si="1"/>
        <v>-8845727</v>
      </c>
      <c r="AE42" s="139"/>
    </row>
    <row r="43" spans="1:24" ht="13.5" customHeight="1">
      <c r="A43" s="458" t="s">
        <v>1466</v>
      </c>
      <c r="B43" s="458"/>
      <c r="C43" s="458"/>
      <c r="D43" s="458"/>
      <c r="E43" s="458"/>
      <c r="F43" s="458"/>
      <c r="G43" s="204">
        <v>32</v>
      </c>
      <c r="H43" s="132"/>
      <c r="I43" s="217"/>
      <c r="J43" s="217"/>
      <c r="K43" s="217"/>
      <c r="L43" s="217"/>
      <c r="M43" s="217"/>
      <c r="N43" s="217"/>
      <c r="O43" s="25">
        <v>0</v>
      </c>
      <c r="P43" s="217"/>
      <c r="Q43" s="217"/>
      <c r="R43" s="217"/>
      <c r="S43" s="217"/>
      <c r="T43" s="217"/>
      <c r="U43" s="217"/>
      <c r="V43" s="207">
        <f t="shared" si="10"/>
        <v>0</v>
      </c>
      <c r="W43" s="25">
        <v>0</v>
      </c>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v>0</v>
      </c>
      <c r="Q44" s="217"/>
      <c r="R44" s="217"/>
      <c r="S44" s="217"/>
      <c r="T44" s="25">
        <v>0</v>
      </c>
      <c r="U44" s="25">
        <v>0</v>
      </c>
      <c r="V44" s="207">
        <f t="shared" si="10"/>
        <v>0</v>
      </c>
      <c r="W44" s="25">
        <v>0</v>
      </c>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v>0</v>
      </c>
      <c r="R45" s="217"/>
      <c r="S45" s="217"/>
      <c r="T45" s="25">
        <v>0</v>
      </c>
      <c r="U45" s="25">
        <v>0</v>
      </c>
      <c r="V45" s="207">
        <f t="shared" si="10"/>
        <v>0</v>
      </c>
      <c r="W45" s="25">
        <v>0</v>
      </c>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v>0</v>
      </c>
      <c r="S46" s="217"/>
      <c r="T46" s="25">
        <v>0</v>
      </c>
      <c r="U46" s="25">
        <v>0</v>
      </c>
      <c r="V46" s="207">
        <f t="shared" si="10"/>
        <v>0</v>
      </c>
      <c r="W46" s="25">
        <v>0</v>
      </c>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v>0</v>
      </c>
      <c r="T47" s="25">
        <v>0</v>
      </c>
      <c r="U47" s="25">
        <v>0</v>
      </c>
      <c r="V47" s="207">
        <f t="shared" si="10"/>
        <v>0</v>
      </c>
      <c r="W47" s="25">
        <v>0</v>
      </c>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v>0</v>
      </c>
      <c r="P48" s="25">
        <v>0</v>
      </c>
      <c r="Q48" s="25">
        <v>0</v>
      </c>
      <c r="R48" s="25">
        <v>0</v>
      </c>
      <c r="S48" s="25">
        <v>0</v>
      </c>
      <c r="T48" s="25">
        <v>0</v>
      </c>
      <c r="U48" s="25">
        <v>0</v>
      </c>
      <c r="V48" s="207">
        <f t="shared" si="10"/>
        <v>0</v>
      </c>
      <c r="W48" s="25">
        <v>0</v>
      </c>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v>0</v>
      </c>
      <c r="P49" s="25">
        <v>0</v>
      </c>
      <c r="Q49" s="25">
        <v>0</v>
      </c>
      <c r="R49" s="25">
        <v>0</v>
      </c>
      <c r="S49" s="25">
        <v>0</v>
      </c>
      <c r="T49" s="25">
        <v>0</v>
      </c>
      <c r="U49" s="25">
        <v>0</v>
      </c>
      <c r="V49" s="207">
        <f t="shared" si="10"/>
        <v>0</v>
      </c>
      <c r="W49" s="25">
        <v>0</v>
      </c>
      <c r="X49" s="207">
        <f t="shared" si="1"/>
        <v>0</v>
      </c>
      <c r="AB49" s="139"/>
    </row>
    <row r="50" spans="1:28" ht="13.5" customHeight="1">
      <c r="A50" s="458" t="s">
        <v>826</v>
      </c>
      <c r="B50" s="458"/>
      <c r="C50" s="458"/>
      <c r="D50" s="458"/>
      <c r="E50" s="458"/>
      <c r="F50" s="458"/>
      <c r="G50" s="204">
        <v>39</v>
      </c>
      <c r="H50" s="132"/>
      <c r="I50" s="25">
        <v>0</v>
      </c>
      <c r="J50" s="25">
        <v>0</v>
      </c>
      <c r="K50" s="25">
        <v>0</v>
      </c>
      <c r="L50" s="25">
        <v>0</v>
      </c>
      <c r="M50" s="25">
        <v>0</v>
      </c>
      <c r="N50" s="25">
        <v>0</v>
      </c>
      <c r="O50" s="25">
        <v>0</v>
      </c>
      <c r="P50" s="25">
        <v>0</v>
      </c>
      <c r="Q50" s="25">
        <v>0</v>
      </c>
      <c r="R50" s="25">
        <v>0</v>
      </c>
      <c r="S50" s="25">
        <v>0</v>
      </c>
      <c r="T50" s="25">
        <v>0</v>
      </c>
      <c r="U50" s="25">
        <v>0</v>
      </c>
      <c r="V50" s="207">
        <f t="shared" si="10"/>
        <v>0</v>
      </c>
      <c r="W50" s="25">
        <v>0</v>
      </c>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v>0</v>
      </c>
      <c r="P51" s="25">
        <v>0</v>
      </c>
      <c r="Q51" s="25">
        <v>0</v>
      </c>
      <c r="R51" s="25">
        <v>0</v>
      </c>
      <c r="S51" s="25">
        <v>0</v>
      </c>
      <c r="T51" s="25">
        <v>0</v>
      </c>
      <c r="U51" s="25">
        <v>0</v>
      </c>
      <c r="V51" s="207">
        <f t="shared" si="10"/>
        <v>0</v>
      </c>
      <c r="W51" s="25">
        <v>0</v>
      </c>
      <c r="X51" s="207">
        <f t="shared" si="1"/>
        <v>0</v>
      </c>
      <c r="AB51" s="139"/>
    </row>
    <row r="52" spans="1:28" ht="24.75" customHeight="1">
      <c r="A52" s="458" t="s">
        <v>840</v>
      </c>
      <c r="B52" s="458"/>
      <c r="C52" s="458"/>
      <c r="D52" s="458"/>
      <c r="E52" s="458"/>
      <c r="F52" s="458"/>
      <c r="G52" s="204">
        <v>41</v>
      </c>
      <c r="H52" s="132"/>
      <c r="I52" s="25">
        <v>0</v>
      </c>
      <c r="J52" s="25">
        <v>0</v>
      </c>
      <c r="K52" s="25">
        <v>0</v>
      </c>
      <c r="L52" s="25">
        <v>0</v>
      </c>
      <c r="M52" s="25">
        <v>0</v>
      </c>
      <c r="N52" s="25">
        <v>0</v>
      </c>
      <c r="O52" s="25">
        <v>0</v>
      </c>
      <c r="P52" s="25">
        <v>0</v>
      </c>
      <c r="Q52" s="25">
        <v>0</v>
      </c>
      <c r="R52" s="25">
        <v>0</v>
      </c>
      <c r="S52" s="25">
        <v>0</v>
      </c>
      <c r="T52" s="25">
        <v>0</v>
      </c>
      <c r="U52" s="25">
        <v>0</v>
      </c>
      <c r="V52" s="207">
        <f t="shared" si="10"/>
        <v>0</v>
      </c>
      <c r="W52" s="25">
        <v>0</v>
      </c>
      <c r="X52" s="207">
        <f t="shared" si="1"/>
        <v>0</v>
      </c>
      <c r="AB52" s="139"/>
    </row>
    <row r="53" spans="1:31" ht="24.75" customHeight="1">
      <c r="A53" s="458" t="s">
        <v>829</v>
      </c>
      <c r="B53" s="458"/>
      <c r="C53" s="458"/>
      <c r="D53" s="458"/>
      <c r="E53" s="458"/>
      <c r="F53" s="458"/>
      <c r="G53" s="204">
        <v>42</v>
      </c>
      <c r="H53" s="132"/>
      <c r="I53" s="25">
        <v>0</v>
      </c>
      <c r="J53" s="25">
        <v>0</v>
      </c>
      <c r="K53" s="25">
        <v>0</v>
      </c>
      <c r="L53" s="25">
        <v>0</v>
      </c>
      <c r="M53" s="25">
        <v>0</v>
      </c>
      <c r="N53" s="25">
        <v>0</v>
      </c>
      <c r="O53" s="25">
        <v>0</v>
      </c>
      <c r="P53" s="25">
        <v>0</v>
      </c>
      <c r="Q53" s="25">
        <v>0</v>
      </c>
      <c r="R53" s="25">
        <v>0</v>
      </c>
      <c r="S53" s="25">
        <v>0</v>
      </c>
      <c r="T53" s="25">
        <v>0</v>
      </c>
      <c r="U53" s="25">
        <v>0</v>
      </c>
      <c r="V53" s="207">
        <f t="shared" si="10"/>
        <v>0</v>
      </c>
      <c r="W53" s="25">
        <v>0</v>
      </c>
      <c r="X53" s="207">
        <f t="shared" si="1"/>
        <v>0</v>
      </c>
      <c r="AE53" s="139"/>
    </row>
    <row r="54" spans="1:31" ht="24.75" customHeight="1">
      <c r="A54" s="458" t="s">
        <v>841</v>
      </c>
      <c r="B54" s="458"/>
      <c r="C54" s="458"/>
      <c r="D54" s="458"/>
      <c r="E54" s="458"/>
      <c r="F54" s="458"/>
      <c r="G54" s="204">
        <v>43</v>
      </c>
      <c r="H54" s="132"/>
      <c r="I54" s="25">
        <v>0</v>
      </c>
      <c r="J54" s="25">
        <v>0</v>
      </c>
      <c r="K54" s="25">
        <v>0</v>
      </c>
      <c r="L54" s="25">
        <v>0</v>
      </c>
      <c r="M54" s="25">
        <v>0</v>
      </c>
      <c r="N54" s="25">
        <v>0</v>
      </c>
      <c r="O54" s="25">
        <v>0</v>
      </c>
      <c r="P54" s="25">
        <v>0</v>
      </c>
      <c r="Q54" s="25">
        <v>0</v>
      </c>
      <c r="R54" s="25">
        <v>0</v>
      </c>
      <c r="S54" s="25">
        <v>0</v>
      </c>
      <c r="T54" s="25">
        <v>0</v>
      </c>
      <c r="U54" s="25">
        <v>0</v>
      </c>
      <c r="V54" s="207">
        <f t="shared" si="10"/>
        <v>0</v>
      </c>
      <c r="W54" s="25">
        <v>0</v>
      </c>
      <c r="X54" s="207">
        <f t="shared" si="1"/>
        <v>0</v>
      </c>
      <c r="AE54" s="139"/>
    </row>
    <row r="55" spans="1:24" ht="13.5" customHeight="1">
      <c r="A55" s="458" t="s">
        <v>831</v>
      </c>
      <c r="B55" s="458"/>
      <c r="C55" s="458"/>
      <c r="D55" s="458"/>
      <c r="E55" s="458"/>
      <c r="F55" s="458"/>
      <c r="G55" s="204">
        <v>44</v>
      </c>
      <c r="H55" s="132"/>
      <c r="I55" s="25">
        <v>0</v>
      </c>
      <c r="J55" s="25">
        <v>0</v>
      </c>
      <c r="K55" s="25">
        <v>0</v>
      </c>
      <c r="L55" s="25">
        <v>0</v>
      </c>
      <c r="M55" s="25">
        <v>0</v>
      </c>
      <c r="N55" s="25">
        <v>0</v>
      </c>
      <c r="O55" s="25">
        <v>0</v>
      </c>
      <c r="P55" s="25">
        <v>0</v>
      </c>
      <c r="Q55" s="25">
        <v>0</v>
      </c>
      <c r="R55" s="25">
        <v>0</v>
      </c>
      <c r="S55" s="25">
        <v>0</v>
      </c>
      <c r="T55" s="25">
        <v>0</v>
      </c>
      <c r="U55" s="25">
        <v>0</v>
      </c>
      <c r="V55" s="207">
        <f t="shared" si="10"/>
        <v>0</v>
      </c>
      <c r="W55" s="25">
        <v>0</v>
      </c>
      <c r="X55" s="207">
        <f t="shared" si="1"/>
        <v>0</v>
      </c>
    </row>
    <row r="56" spans="1:24" ht="13.5" customHeight="1">
      <c r="A56" s="458" t="s">
        <v>832</v>
      </c>
      <c r="B56" s="458"/>
      <c r="C56" s="458"/>
      <c r="D56" s="458"/>
      <c r="E56" s="458"/>
      <c r="F56" s="458"/>
      <c r="G56" s="204">
        <v>45</v>
      </c>
      <c r="H56" s="132"/>
      <c r="I56" s="25">
        <v>0</v>
      </c>
      <c r="J56" s="25">
        <v>0</v>
      </c>
      <c r="K56" s="25">
        <v>0</v>
      </c>
      <c r="L56" s="25">
        <v>0</v>
      </c>
      <c r="M56" s="25">
        <v>0</v>
      </c>
      <c r="N56" s="25">
        <v>0</v>
      </c>
      <c r="O56" s="25">
        <v>0</v>
      </c>
      <c r="P56" s="25">
        <v>0</v>
      </c>
      <c r="Q56" s="25">
        <v>0</v>
      </c>
      <c r="R56" s="25">
        <v>0</v>
      </c>
      <c r="S56" s="25">
        <v>0</v>
      </c>
      <c r="T56" s="25">
        <v>0</v>
      </c>
      <c r="U56" s="25">
        <v>0</v>
      </c>
      <c r="V56" s="207">
        <f t="shared" si="10"/>
        <v>0</v>
      </c>
      <c r="W56" s="25">
        <v>0</v>
      </c>
      <c r="X56" s="207">
        <f t="shared" si="1"/>
        <v>0</v>
      </c>
    </row>
    <row r="57" spans="1:24" ht="13.5" customHeight="1">
      <c r="A57" s="458" t="s">
        <v>833</v>
      </c>
      <c r="B57" s="458"/>
      <c r="C57" s="458"/>
      <c r="D57" s="458"/>
      <c r="E57" s="458"/>
      <c r="F57" s="458"/>
      <c r="G57" s="204">
        <v>46</v>
      </c>
      <c r="H57" s="132"/>
      <c r="I57" s="25">
        <v>0</v>
      </c>
      <c r="J57" s="25">
        <v>0</v>
      </c>
      <c r="K57" s="25">
        <v>0</v>
      </c>
      <c r="L57" s="25">
        <v>0</v>
      </c>
      <c r="M57" s="25">
        <v>0</v>
      </c>
      <c r="N57" s="25">
        <v>0</v>
      </c>
      <c r="O57" s="25">
        <v>0</v>
      </c>
      <c r="P57" s="25">
        <v>0</v>
      </c>
      <c r="Q57" s="25">
        <v>0</v>
      </c>
      <c r="R57" s="25">
        <v>0</v>
      </c>
      <c r="S57" s="25">
        <v>0</v>
      </c>
      <c r="T57" s="25">
        <v>0</v>
      </c>
      <c r="U57" s="25">
        <v>0</v>
      </c>
      <c r="V57" s="207">
        <f t="shared" si="10"/>
        <v>0</v>
      </c>
      <c r="W57" s="25">
        <v>0</v>
      </c>
      <c r="X57" s="207">
        <f t="shared" si="1"/>
        <v>0</v>
      </c>
    </row>
    <row r="58" spans="1:29" s="3" customFormat="1" ht="13.5" customHeight="1">
      <c r="A58" s="458" t="s">
        <v>834</v>
      </c>
      <c r="B58" s="458"/>
      <c r="C58" s="458"/>
      <c r="D58" s="458"/>
      <c r="E58" s="458"/>
      <c r="F58" s="458"/>
      <c r="G58" s="204">
        <v>47</v>
      </c>
      <c r="H58" s="132"/>
      <c r="I58" s="25">
        <v>0</v>
      </c>
      <c r="J58" s="25">
        <v>0</v>
      </c>
      <c r="K58" s="25">
        <v>0</v>
      </c>
      <c r="L58" s="25">
        <v>0</v>
      </c>
      <c r="M58" s="25">
        <v>0</v>
      </c>
      <c r="N58" s="25">
        <v>0</v>
      </c>
      <c r="O58" s="25">
        <v>0</v>
      </c>
      <c r="P58" s="25">
        <v>0</v>
      </c>
      <c r="Q58" s="25">
        <v>0</v>
      </c>
      <c r="R58" s="25">
        <v>0</v>
      </c>
      <c r="S58" s="25">
        <v>0</v>
      </c>
      <c r="T58" s="25">
        <v>5378514</v>
      </c>
      <c r="U58" s="25">
        <v>-5378514</v>
      </c>
      <c r="V58" s="207">
        <f t="shared" si="10"/>
        <v>0</v>
      </c>
      <c r="W58" s="25">
        <v>0</v>
      </c>
      <c r="X58" s="207">
        <f t="shared" si="1"/>
        <v>0</v>
      </c>
      <c r="AB58" s="139"/>
      <c r="AC58" s="134"/>
    </row>
    <row r="59" spans="1:29" s="3" customFormat="1" ht="13.5" customHeight="1">
      <c r="A59" s="458" t="s">
        <v>835</v>
      </c>
      <c r="B59" s="458"/>
      <c r="C59" s="458"/>
      <c r="D59" s="458"/>
      <c r="E59" s="458"/>
      <c r="F59" s="458"/>
      <c r="G59" s="204">
        <v>48</v>
      </c>
      <c r="H59" s="132"/>
      <c r="I59" s="25">
        <v>0</v>
      </c>
      <c r="J59" s="25">
        <v>0</v>
      </c>
      <c r="K59" s="25">
        <v>0</v>
      </c>
      <c r="L59" s="25">
        <v>0</v>
      </c>
      <c r="M59" s="25">
        <v>0</v>
      </c>
      <c r="N59" s="25">
        <v>0</v>
      </c>
      <c r="O59" s="25">
        <v>0</v>
      </c>
      <c r="P59" s="25">
        <v>0</v>
      </c>
      <c r="Q59" s="25">
        <v>0</v>
      </c>
      <c r="R59" s="25">
        <v>0</v>
      </c>
      <c r="S59" s="25">
        <v>0</v>
      </c>
      <c r="T59" s="25">
        <v>0</v>
      </c>
      <c r="U59" s="25">
        <v>0</v>
      </c>
      <c r="V59" s="207">
        <f t="shared" si="10"/>
        <v>0</v>
      </c>
      <c r="W59" s="25">
        <v>0</v>
      </c>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99918350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-46502075</v>
      </c>
      <c r="U60" s="206">
        <f t="shared" si="12"/>
        <v>-8845727</v>
      </c>
      <c r="V60" s="206">
        <f t="shared" si="10"/>
        <v>44570548</v>
      </c>
      <c r="W60" s="206">
        <f>SUM(W41:W59)</f>
        <v>0</v>
      </c>
      <c r="X60" s="206">
        <f t="shared" si="1"/>
        <v>44570548</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62:X64 I10:X32">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 right="0" top="0" bottom="0" header="0" footer="0"/>
  <pageSetup fitToHeight="1" fitToWidth="1" orientation="landscape" paperSize="9" scale="43"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Božena</cp:lastModifiedBy>
  <cp:lastPrinted>2021-06-30T14:28:30Z</cp:lastPrinted>
  <dcterms:created xsi:type="dcterms:W3CDTF">2008-10-17T11:51:54Z</dcterms:created>
  <dcterms:modified xsi:type="dcterms:W3CDTF">2021-06-30T15:29:38Z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