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X:\financije\BURZA FINANCIJSKE OBJAVE, PREDUJAM DIVID\2023\4Q 2023\"/>
    </mc:Choice>
  </mc:AlternateContent>
  <xr:revisionPtr revIDLastSave="0" documentId="13_ncr:1_{1500B9DD-F6C6-4692-8E5B-BA2935ED073F}" xr6:coauthVersionLast="47" xr6:coauthVersionMax="47" xr10:uidLastSave="{00000000-0000-0000-0000-000000000000}"/>
  <bookViews>
    <workbookView xWindow="-289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N57" i="22"/>
  <c r="I48" i="22" l="1"/>
  <c r="I13" i="20" l="1"/>
  <c r="J25" i="26" l="1"/>
  <c r="I25" i="26"/>
  <c r="H25" i="26"/>
  <c r="I131" i="18" l="1"/>
  <c r="I128"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<sst xmlns="http://schemas.openxmlformats.org/spreadsheetml/2006/main" count="534" uniqueCount="469">
  <si>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</si>
  <si>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</si>
  <si>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</si>
  <si>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</si>
  <si>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</si>
  <si>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</si>
  <si>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</si>
  <si>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</si>
  <si>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</si>
  <si>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</si>
  <si>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</si>
  <si>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</si>
  <si>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</si>
  <si>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</si>
  <si>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</si>
  <si>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</si>
  <si>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</si>
  <si>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</si>
  <si>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</si>
  <si>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</si>
  <si>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</si>
  <si>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</si>
  <si>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</si>
  <si>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</si>
  <si>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</si>
  <si>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</si>
  <si>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</si>
  <si>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</si>
  <si>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</si>
  <si>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</si>
  <si>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</si>
  <si>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</si>
  <si>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</si>
  <si>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</si>
  <si>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</si>
  <si>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</si>
  <si>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</si>
  <si>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</si>
  <si>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</si>
  <si>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</si>
  <si>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</si>
  <si>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</si>
  <si>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</si>
  <si>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</si>
  <si>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</si>
  <si>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</si>
  <si>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</si>
  <si>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</si>
  <si>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</si>
  <si>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</si>
  <si>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</si>
  <si>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</si>
  <si>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</si>
  <si>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</si>
  <si>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</si>
  <si>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</si>
  <si>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</si>
  <si>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</si>
  <si>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</si>
  <si>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</si>
  <si>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</si>
  <si>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</si>
  <si>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</si>
  <si>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</si>
  <si>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</si>
  <si>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</si>
  <si>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</si>
  <si>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</si>
  <si>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</si>
  <si>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</si>
  <si>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</si>
  <si>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</si>
  <si>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</si>
  <si>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</si>
  <si>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</si>
  <si>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</si>
  <si>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</si>
  <si>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</si>
  <si>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</si>
  <si>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</si>
  <si>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</si>
  <si>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</si>
  <si>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</si>
  <si>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</si>
  <si>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</si>
  <si>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</si>
  <si>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</si>
  <si>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</si>
  <si>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</si>
  <si>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</si>
  <si>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</si>
  <si>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</si>
  <si>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</si>
  <si>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</si>
  <si>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</si>
  <si>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</si>
  <si>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</si>
  <si>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</si>
  <si>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</si>
  <si>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</si>
  <si>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</si>
  <si>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</si>
  <si>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</si>
  <si>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</si>
  <si>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</si>
  <si>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</si>
  <si>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</si>
  <si>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</si>
  <si>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</si>
  <si>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</si>
  <si>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</si>
  <si>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</si>
  <si>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</si>
  <si>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</si>
  <si>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</si>
  <si>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</si>
  <si>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</si>
  <si>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</si>
  <si>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</si>
  <si>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</si>
  <si>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</si>
  <si>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</si>
  <si>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</si>
  <si>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</si>
  <si>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</si>
  <si>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</si>
  <si>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</si>
  <si>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</si>
  <si>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</si>
  <si>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</si>
  <si>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</si>
  <si>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</si>
  <si>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</si>
  <si>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</si>
  <si>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</si>
  <si>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</si>
  <si>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</si>
  <si>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</si>
  <si>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</si>
  <si>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</si>
  <si>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</si>
  <si>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</si>
  <si>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</si>
  <si>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</si>
  <si>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</si>
  <si>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</si>
  <si>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</si>
  <si>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</si>
  <si>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</si>
  <si>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</si>
  <si>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</si>
  <si>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</si>
  <si>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</si>
  <si>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</si>
  <si>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</si>
  <si>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</si>
  <si>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</si>
  <si>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</si>
  <si>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</si>
  <si>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</si>
  <si>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</si>
  <si>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</si>
  <si>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</si>
  <si>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</si>
  <si>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</si>
  <si>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</si>
  <si>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</si>
  <si>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</si>
  <si>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</si>
  <si>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</si>
  <si>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</si>
  <si>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</si>
  <si>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</si>
  <si>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</si>
  <si>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</si>
  <si>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</si>
  <si>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</si>
  <si>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</si>
  <si>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</si>
  <si>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</si>
  <si>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</si>
  <si>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</si>
  <si>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</si>
  <si>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</si>
  <si>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</si>
  <si>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</si>
  <si>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</si>
  <si>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</si>
  <si>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</si>
  <si>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</si>
  <si>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</si>
  <si>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</si>
  <si>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</si>
  <si>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</si>
  <si>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</si>
  <si>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</si>
  <si>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</si>
  <si>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</si>
  <si>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</si>
  <si>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</si>
  <si>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</si>
  <si>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</si>
  <si>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</si>
  <si>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</si>
  <si>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</si>
  <si>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</si>
  <si>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</si>
  <si>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</si>
  <si>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</si>
  <si>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</si>
  <si>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</si>
  <si>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</si>
  <si>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</si>
  <si>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</si>
  <si>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</si>
  <si>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</si>
  <si>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</si>
  <si>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</si>
  <si>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</si>
  <si>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</si>
  <si>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</si>
  <si>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</si>
  <si>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</si>
  <si>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</si>
  <si>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</si>
  <si>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</si>
  <si>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</si>
  <si>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</si>
  <si>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</si>
  <si>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</si>
  <si>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</si>
  <si>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</si>
  <si>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</si>
  <si>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</si>
  <si>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</si>
  <si>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</si>
  <si>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</si>
  <si>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</si>
  <si>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</si>
  <si>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</si>
  <si>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</si>
  <si>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</si>
  <si>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</si>
  <si>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</si>
  <si>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</si>
  <si>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</si>
  <si>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</si>
  <si>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</si>
  <si>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</si>
  <si>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</si>
  <si>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</si>
  <si>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</si>
  <si>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</si>
  <si>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</si>
  <si>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</si>
  <si>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</si>
  <si>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</si>
  <si>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</si>
  <si>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</si>
  <si>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</si>
  <si>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</si>
  <si>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</si>
  <si>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</si>
  <si>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</si>
  <si>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</si>
  <si>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</si>
  <si>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</si>
  <si>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</si>
  <si>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</si>
  <si>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</si>
  <si>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</si>
  <si>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</si>
  <si>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</si>
  <si>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</si>
  <si>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</si>
  <si>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</si>
  <si>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</si>
  <si>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</si>
  <si>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</si>
  <si>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</si>
  <si>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</si>
  <si>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</si>
  <si>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</si>
  <si>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</si>
  <si>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</si>
  <si>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</si>
  <si>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</si>
  <si>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</si>
  <si>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</si>
  <si>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</si>
  <si>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</si>
  <si>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</si>
  <si>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</si>
  <si>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</si>
  <si>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</si>
  <si>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</si>
  <si>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</si>
  <si>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</si>
  <si>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</si>
  <si>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</si>
  <si>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</si>
  <si>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</si>
  <si>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</si>
  <si>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</si>
  <si>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</si>
  <si>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</si>
  <si>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</si>
  <si>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</si>
  <si>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</si>
  <si>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</si>
  <si>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</si>
  <si>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</si>
  <si>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</si>
  <si>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</si>
  <si>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</si>
  <si>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</si>
  <si>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</si>
  <si>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</si>
  <si>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</si>
  <si>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</si>
  <si>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</si>
  <si>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</si>
  <si>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</si>
  <si>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</si>
  <si>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</si>
  <si>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</si>
  <si>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</si>
  <si>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</si>
  <si>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</si>
  <si>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</si>
  <si>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</si>
  <si>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</si>
  <si>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</si>
  <si>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</si>
  <si>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</si>
  <si>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</si>
  <si>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</si>
  <si>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</si>
  <si>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</si>
  <si>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</si>
  <si>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</si>
  <si>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</si>
  <si>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</si>
  <si>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</si>
  <si>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</si>
  <si>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</si>
  <si>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</si>
  <si>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</si>
  <si>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</si>
  <si>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</si>
  <si>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</si>
  <si>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</si>
  <si>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</si>
  <si>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</si>
  <si>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</si>
  <si>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</si>
  <si>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</si>
  <si>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</si>
  <si>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</si>
  <si>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</si>
  <si>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</si>
  <si>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</si>
  <si>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</si>
  <si>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</si>
  <si>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</si>
  <si>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</si>
  <si>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</si>
  <si>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</si>
  <si>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</si>
  <si>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</si>
  <si>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</si>
  <si>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</si>
  <si>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</si>
  <si>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</si>
  <si>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</si>
  <si>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</si>
  <si>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</si>
  <si>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</si>
  <si>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</si>
  <si>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</si>
  <si>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</si>
  <si>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</si>
  <si>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</si>
  <si>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</si>
  <si>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</si>
  <si>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</si>
  <si>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</si>
  <si>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</si>
  <si>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</si>
  <si>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</si>
  <si>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</si>
  <si>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</si>
  <si>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</si>
  <si>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</si>
  <si>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</si>
  <si>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</si>
  <si>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</si>
  <si>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</si>
  <si>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</si>
  <si>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</si>
  <si>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</si>
  <si>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</si>
  <si>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</si>
  <si>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</si>
  <si>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</si>
  <si>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</si>
  <si>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</si>
  <si>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</si>
  <si>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</si>
  <si>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</si>
  <si>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</si>
  <si>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</si>
  <si>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</si>
  <si>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</si>
  <si>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</si>
  <si>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</si>
  <si>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</si>
  <si>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</si>
  <si>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</si>
  <si>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</si>
  <si>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</si>
  <si>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</si>
  <si>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</si>
  <si>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</si>
  <si>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</si>
  <si>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</si>
  <si>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</si>
  <si>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</si>
  <si>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</si>
  <si>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</si>
  <si>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</si>
  <si>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</si>
  <si>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</si>
  <si>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</si>
  <si>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</si>
  <si>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</si>
  <si>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</si>
  <si>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</si>
  <si>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</si>
  <si>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</si>
  <si>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</si>
  <si>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</si>
  <si>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</si>
  <si>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</si>
  <si>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</si>
  <si>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</si>
  <si>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</si>
  <si>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</si>
  <si>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</si>
  <si>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03334309</t>
  </si>
  <si>
    <t>HR</t>
  </si>
  <si>
    <t>040005097</t>
  </si>
  <si>
    <t>95976200516</t>
  </si>
  <si>
    <t>74780000L0G8TVPEPY23</t>
  </si>
  <si>
    <t>2102</t>
  </si>
  <si>
    <t>JADROAGENT D.D.</t>
  </si>
  <si>
    <t>RIJEKA</t>
  </si>
  <si>
    <t>TRG IVANA KOBLERA 2</t>
  </si>
  <si>
    <t>sabina.delpin@jadroagent.hr</t>
  </si>
  <si>
    <t>www.jadroagent.hr</t>
  </si>
  <si>
    <t>DELPIN SABINA</t>
  </si>
  <si>
    <t>051 780 702</t>
  </si>
  <si>
    <t>Obveznik:____JADROAGENT D.D.___</t>
  </si>
  <si>
    <t>Obveznik: __JADROAGENT D.D.________</t>
  </si>
  <si>
    <t>Obveznik: __JADROAGENT D.D.</t>
  </si>
  <si>
    <t xml:space="preserve">stanje na dan 31.12.2023. </t>
  </si>
  <si>
    <t>u razdoblju 01.01.2023. do 31.12.2023</t>
  </si>
  <si>
    <t>u razdoblju 01.01.2023. do 31.12.2023.</t>
  </si>
  <si>
    <r>
      <t xml:space="preserve">BILJEŠKE UZ FINANCIJSKE IZVJEŠTAJE - TFI
(koji se sastavljaju za tromjesečna razdoblja)
Naziv izdavatelja:  </t>
    </r>
    <r>
      <rPr>
        <b/>
        <sz val="10"/>
        <rFont val="Arial"/>
        <family val="2"/>
        <charset val="238"/>
      </rPr>
      <t xml:space="preserve">JADROAGENT D.D. </t>
    </r>
    <r>
      <rPr>
        <sz val="10"/>
        <rFont val="Arial"/>
        <family val="2"/>
        <charset val="238"/>
      </rPr>
      <t xml:space="preserve">
OIB:   95976200516
Izvještajno razdoblje: 01.01.2023. - 31.12.2023.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charset val="238"/>
      </rPr>
      <t>Prikazano u izvješću u pdf formatu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Pristup posljednjim godišnjim financijskim izvještajima omogućen je na stranicama Društva; https://www.jadroagent.hr</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Financijski izvještaji Društva za razdoblje završeno 31. prosinca 2023. godine sastavljeni su sukladno Međunarodnom računovodstvenom standardu 34 - Financijsko izvještavanje tijekom godine. Ne uključuju sve podatke i objave koji su obvezni za godišnje financijske izvještaje. Financijski izvještaji pripremljeni su temeljem istih računovodstvenih politika, prikaza i metoda izračuna koje su korištene prilikom pripreme godišnjih financijskih izvještaja Društva na dan 31. prosinca 2022. godine uz iznimku izvještajne valute (za 2022. godinu funkcionalna i izvještajna valuta bila je kuna, te su iznosi preračunati po tečaju konverzije koji iznosi 7,53450).</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Društvo ne obavlja djelatnost sezonske prirode.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 xml:space="preserve">JADROAGENT međunarodna pomorska i prometna agencija, d. d. Jadroagent d.d., Trg Ivana Koblera 2, 51000 Rijeka, Matični broj 03334309, OIB 95976200516 </t>
    </r>
    <r>
      <rPr>
        <sz val="10"/>
        <rFont val="Arial"/>
        <family val="2"/>
        <charset val="238"/>
      </rPr>
      <t xml:space="preserve">
2. usvojene računovodstvene politike (samo naznaku je li došlo do promjene u odnosu na prethodno razdoblje)                                                                                                                </t>
    </r>
    <r>
      <rPr>
        <b/>
        <sz val="10"/>
        <rFont val="Arial"/>
        <family val="2"/>
        <charset val="238"/>
      </rPr>
      <t>Računovodstvene politike nisu se mijenjale u odnosu na godišnje financijske izvještaje Društva na dan 31. prosinca 2022. godine.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poduzetn+A1ika unutar grupe ili društva povezana sudjelujućim interesom objavljuju se odvojeno                                                                                                                     </t>
    </r>
    <r>
      <rPr>
        <b/>
        <sz val="10"/>
        <rFont val="Arial"/>
        <family val="2"/>
        <charset val="238"/>
      </rPr>
      <t>Nije bilo navedenih financijskih obveza i izdataka koji nisu uključeni u bilanc</t>
    </r>
    <r>
      <rPr>
        <sz val="10"/>
        <rFont val="Arial"/>
        <family val="2"/>
        <charset val="238"/>
      </rPr>
      <t xml:space="preserve">u.
4. iznos i prirodu pojedinih stavki prihoda ili rashoda izuzetne veličine ili pojave                                                                                                                                                                              </t>
    </r>
    <r>
      <rPr>
        <b/>
        <sz val="10"/>
        <rFont val="Arial"/>
        <family val="2"/>
        <charset val="238"/>
      </rPr>
      <t>Prihodi i rashodi detaljno su obrađeni u sklopu pdf izvještaja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Društvo nema navedenih dugovanja iznad pet godina.</t>
    </r>
    <r>
      <rPr>
        <sz val="10"/>
        <rFont val="Arial"/>
        <family val="2"/>
        <charset val="238"/>
      </rPr>
      <t xml:space="preserve">
6. prosječan broj zaposlenih tijekom tekućeg razdoblja</t>
    </r>
    <r>
      <rPr>
        <b/>
        <sz val="10"/>
        <rFont val="Arial"/>
        <family val="2"/>
        <charset val="238"/>
      </rPr>
      <t xml:space="preserve"> Prosječan broj zaposlenih u razdbolju do 31.12.2023. godine  je 125 radnik.</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Društvo nije kapitaliziralo trošak plaće tijekom promatranog razdoblja.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NIsu priznata navedena rezerviranja u promatranom razdoblju.</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r>
      <rPr>
        <b/>
        <sz val="10"/>
        <rFont val="Arial"/>
        <family val="2"/>
        <charset val="238"/>
      </rPr>
      <t xml:space="preserve"> </t>
    </r>
    <r>
      <rPr>
        <sz val="10"/>
        <rFont val="Arial"/>
        <family val="2"/>
        <charset val="238"/>
      </rPr>
      <t xml:space="preserve">.
</t>
    </r>
    <r>
      <rPr>
        <b/>
        <sz val="10"/>
        <rFont val="Arial"/>
        <family val="2"/>
        <charset val="238"/>
      </rPr>
      <t>Društvo drži 50% udjela u kapitalu u poduzeću Atlantska pomorska agencija d.o.o. a navedeno poduzeće ne objavljuje svoju bilancu i nije pod kontrolom drugog poduzetnika.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 xml:space="preserve">Društvo raspolaže s 110.845 dionica nominalne vrijednosti 60,00 Eura.Odlukom Glavne skupštine od 12.4.2023. godine došlo je do usklađenja povećanjem Temeljnog kapitala  sukladno Zakonu o uvođenju eura kao službene valute u RH te Zakonu o trgovačkim društvima. </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Tijekom izvještajnog perioda nije bilo navedenih vrijednosnica ili prava</t>
    </r>
    <r>
      <rPr>
        <sz val="10"/>
        <rFont val="Arial"/>
        <family val="2"/>
        <charset val="238"/>
      </rPr>
      <t>.
12. naziv, sjedište te pravni oblik svakog poduzetnika u kojemu poduzetnik ima neograničenu odgovornost
T</t>
    </r>
    <r>
      <rPr>
        <b/>
        <sz val="10"/>
        <rFont val="Arial"/>
        <family val="2"/>
        <charset val="238"/>
      </rPr>
      <t>ijekom 2023. godine nema poduzetnika u kojima izdavatelj ima neograničenu odgovornost.</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charset val="238"/>
      </rPr>
      <t xml:space="preserve">Društvo ne sastavlja konsolidirane izvještaje.
</t>
    </r>
    <r>
      <rPr>
        <sz val="10"/>
        <rFont val="Arial"/>
        <family val="2"/>
        <charset val="238"/>
      </rPr>
      <t xml:space="preserve">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Društvo ne sastavlja konsolidirane izvještaje</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Društvo ne sastavlja konsolidirane izvještaje</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Nije bilo navedenih aranžmana u izvještajnom razdoblju.</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Nakon 31 prosinca 2023. godine nije bilo događaja koji bi imali značajan utjecaj na financijske izvještaje za četvrti kvartal 2023. godine.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</si>
</sst>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topLeftCell="A11" zoomScaleNormal="100" zoomScaleSheetLayoutView="100" workbookViewId="0">
      <selection activeCell="C33" sqref="C3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45291</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450</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451</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453</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454</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51000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122</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H8" sqref="A8: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465</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5643396</v>
      </c>
      <c r="I9" s="82">
        <f>I10+I17+I27+I38+I43</f>
        <v>9477137</v>
      </c>
    </row>
    <row r="10" spans="1:9" ht="12.75" customHeight="1" x14ac:dyDescent="0.2">
      <c r="A10" s="194" t="s">
        <v>5</v>
      </c>
      <c r="B10" s="194"/>
      <c r="C10" s="194"/>
      <c r="D10" s="194"/>
      <c r="E10" s="194"/>
      <c r="F10" s="194"/>
      <c r="G10" s="12">
        <v>3</v>
      </c>
      <c r="H10" s="82">
        <f>H11+H12+H13+H14+H15+H16</f>
        <v>11952</v>
      </c>
      <c r="I10" s="82">
        <f>I11+I12+I13+I14+I15+I16</f>
        <v>67068</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11952</v>
      </c>
      <c r="I12" s="18">
        <v>67068</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4148643</v>
      </c>
      <c r="I17" s="82">
        <f>I18+I19+I20+I21+I22+I23+I24+I25+I26</f>
        <v>7414303</v>
      </c>
    </row>
    <row r="18" spans="1:9" ht="12.75" customHeight="1" x14ac:dyDescent="0.2">
      <c r="A18" s="190" t="s">
        <v>13</v>
      </c>
      <c r="B18" s="190"/>
      <c r="C18" s="190"/>
      <c r="D18" s="190"/>
      <c r="E18" s="190"/>
      <c r="F18" s="190"/>
      <c r="G18" s="11">
        <v>11</v>
      </c>
      <c r="H18" s="18">
        <v>2262780</v>
      </c>
      <c r="I18" s="18">
        <v>2251783</v>
      </c>
    </row>
    <row r="19" spans="1:9" ht="12.75" customHeight="1" x14ac:dyDescent="0.2">
      <c r="A19" s="190" t="s">
        <v>14</v>
      </c>
      <c r="B19" s="190"/>
      <c r="C19" s="190"/>
      <c r="D19" s="190"/>
      <c r="E19" s="190"/>
      <c r="F19" s="190"/>
      <c r="G19" s="11">
        <v>12</v>
      </c>
      <c r="H19" s="18">
        <v>1038566</v>
      </c>
      <c r="I19" s="18">
        <v>1011278</v>
      </c>
    </row>
    <row r="20" spans="1:9" ht="12.75" customHeight="1" x14ac:dyDescent="0.2">
      <c r="A20" s="190" t="s">
        <v>15</v>
      </c>
      <c r="B20" s="190"/>
      <c r="C20" s="190"/>
      <c r="D20" s="190"/>
      <c r="E20" s="190"/>
      <c r="F20" s="190"/>
      <c r="G20" s="11">
        <v>13</v>
      </c>
      <c r="H20" s="18">
        <v>5034</v>
      </c>
      <c r="I20" s="18">
        <v>6583</v>
      </c>
    </row>
    <row r="21" spans="1:9" ht="12.75" customHeight="1" x14ac:dyDescent="0.2">
      <c r="A21" s="190" t="s">
        <v>16</v>
      </c>
      <c r="B21" s="190"/>
      <c r="C21" s="190"/>
      <c r="D21" s="190"/>
      <c r="E21" s="190"/>
      <c r="F21" s="190"/>
      <c r="G21" s="11">
        <v>14</v>
      </c>
      <c r="H21" s="18">
        <v>155917</v>
      </c>
      <c r="I21" s="18">
        <v>208863</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20103</v>
      </c>
      <c r="I23" s="18">
        <v>2340346</v>
      </c>
    </row>
    <row r="24" spans="1:9" ht="12.75" customHeight="1" x14ac:dyDescent="0.2">
      <c r="A24" s="190" t="s">
        <v>19</v>
      </c>
      <c r="B24" s="190"/>
      <c r="C24" s="190"/>
      <c r="D24" s="190"/>
      <c r="E24" s="190"/>
      <c r="F24" s="190"/>
      <c r="G24" s="11">
        <v>17</v>
      </c>
      <c r="H24" s="18">
        <v>10684</v>
      </c>
      <c r="I24" s="18">
        <v>983175</v>
      </c>
    </row>
    <row r="25" spans="1:9" ht="12.75" customHeight="1" x14ac:dyDescent="0.2">
      <c r="A25" s="190" t="s">
        <v>20</v>
      </c>
      <c r="B25" s="190"/>
      <c r="C25" s="190"/>
      <c r="D25" s="190"/>
      <c r="E25" s="190"/>
      <c r="F25" s="190"/>
      <c r="G25" s="11">
        <v>18</v>
      </c>
      <c r="H25" s="18">
        <v>40481</v>
      </c>
      <c r="I25" s="18">
        <v>40481</v>
      </c>
    </row>
    <row r="26" spans="1:9" ht="12.75" customHeight="1" x14ac:dyDescent="0.2">
      <c r="A26" s="190" t="s">
        <v>21</v>
      </c>
      <c r="B26" s="190"/>
      <c r="C26" s="190"/>
      <c r="D26" s="190"/>
      <c r="E26" s="190"/>
      <c r="F26" s="190"/>
      <c r="G26" s="11">
        <v>19</v>
      </c>
      <c r="H26" s="18">
        <v>615078</v>
      </c>
      <c r="I26" s="18">
        <v>571794</v>
      </c>
    </row>
    <row r="27" spans="1:9" ht="12.75" customHeight="1" x14ac:dyDescent="0.2">
      <c r="A27" s="194" t="s">
        <v>22</v>
      </c>
      <c r="B27" s="194"/>
      <c r="C27" s="194"/>
      <c r="D27" s="194"/>
      <c r="E27" s="194"/>
      <c r="F27" s="194"/>
      <c r="G27" s="12">
        <v>20</v>
      </c>
      <c r="H27" s="82">
        <f>SUM(H28:H37)</f>
        <v>1482801</v>
      </c>
      <c r="I27" s="82">
        <f>SUM(I28:I37)</f>
        <v>1995766</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181341</v>
      </c>
      <c r="I31" s="18">
        <v>175870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1297149</v>
      </c>
      <c r="I34" s="18">
        <v>1816985</v>
      </c>
    </row>
    <row r="35" spans="1:9" ht="12.75" customHeight="1" x14ac:dyDescent="0.2">
      <c r="A35" s="190" t="s">
        <v>30</v>
      </c>
      <c r="B35" s="190"/>
      <c r="C35" s="190"/>
      <c r="D35" s="190"/>
      <c r="E35" s="190"/>
      <c r="F35" s="190"/>
      <c r="G35" s="11">
        <v>28</v>
      </c>
      <c r="H35" s="18">
        <v>4311</v>
      </c>
      <c r="I35" s="18">
        <v>2911</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10653662</v>
      </c>
      <c r="I44" s="82">
        <f>I45+I53+I60+I70</f>
        <v>10408803</v>
      </c>
    </row>
    <row r="45" spans="1:9" ht="12.75" customHeight="1" x14ac:dyDescent="0.2">
      <c r="A45" s="194" t="s">
        <v>39</v>
      </c>
      <c r="B45" s="194"/>
      <c r="C45" s="194"/>
      <c r="D45" s="194"/>
      <c r="E45" s="194"/>
      <c r="F45" s="194"/>
      <c r="G45" s="12">
        <v>38</v>
      </c>
      <c r="H45" s="82">
        <f>SUM(H46:H52)</f>
        <v>2751</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2751</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4458909</v>
      </c>
      <c r="I53" s="82">
        <f>SUM(I54:I59)</f>
        <v>3649355</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1438</v>
      </c>
      <c r="I55" s="18">
        <v>1437</v>
      </c>
    </row>
    <row r="56" spans="1:9" ht="12.75" customHeight="1" x14ac:dyDescent="0.2">
      <c r="A56" s="190" t="s">
        <v>50</v>
      </c>
      <c r="B56" s="190"/>
      <c r="C56" s="190"/>
      <c r="D56" s="190"/>
      <c r="E56" s="190"/>
      <c r="F56" s="190"/>
      <c r="G56" s="11">
        <v>49</v>
      </c>
      <c r="H56" s="18">
        <v>4061062</v>
      </c>
      <c r="I56" s="18">
        <v>3367445</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155298</v>
      </c>
      <c r="I58" s="18">
        <v>99832</v>
      </c>
    </row>
    <row r="59" spans="1:9" ht="12.75" customHeight="1" x14ac:dyDescent="0.2">
      <c r="A59" s="190" t="s">
        <v>53</v>
      </c>
      <c r="B59" s="190"/>
      <c r="C59" s="190"/>
      <c r="D59" s="190"/>
      <c r="E59" s="190"/>
      <c r="F59" s="190"/>
      <c r="G59" s="11">
        <v>52</v>
      </c>
      <c r="H59" s="18">
        <v>241111</v>
      </c>
      <c r="I59" s="18">
        <v>180641</v>
      </c>
    </row>
    <row r="60" spans="1:9" ht="12.75" customHeight="1" x14ac:dyDescent="0.2">
      <c r="A60" s="194" t="s">
        <v>54</v>
      </c>
      <c r="B60" s="194"/>
      <c r="C60" s="194"/>
      <c r="D60" s="194"/>
      <c r="E60" s="194"/>
      <c r="F60" s="194"/>
      <c r="G60" s="12">
        <v>53</v>
      </c>
      <c r="H60" s="82">
        <f>SUM(H61:H69)</f>
        <v>3895294</v>
      </c>
      <c r="I60" s="82">
        <f>SUM(I61:I69)</f>
        <v>1669658</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3895294</v>
      </c>
      <c r="I68" s="18">
        <v>1669658</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2296708</v>
      </c>
      <c r="I70" s="18">
        <v>5089790</v>
      </c>
    </row>
    <row r="71" spans="1:9" ht="12.75" customHeight="1" x14ac:dyDescent="0.2">
      <c r="A71" s="191" t="s">
        <v>58</v>
      </c>
      <c r="B71" s="191"/>
      <c r="C71" s="191"/>
      <c r="D71" s="191"/>
      <c r="E71" s="191"/>
      <c r="F71" s="191"/>
      <c r="G71" s="11">
        <v>64</v>
      </c>
      <c r="H71" s="18">
        <v>24978</v>
      </c>
      <c r="I71" s="18">
        <v>25417</v>
      </c>
    </row>
    <row r="72" spans="1:9" ht="12.75" customHeight="1" x14ac:dyDescent="0.2">
      <c r="A72" s="192" t="s">
        <v>304</v>
      </c>
      <c r="B72" s="192"/>
      <c r="C72" s="192"/>
      <c r="D72" s="192"/>
      <c r="E72" s="192"/>
      <c r="F72" s="192"/>
      <c r="G72" s="12">
        <v>65</v>
      </c>
      <c r="H72" s="82">
        <f>H8+H9+H44+H71</f>
        <v>16322036</v>
      </c>
      <c r="I72" s="82">
        <f>I8+I9+I44+I71</f>
        <v>19911357</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11954824</v>
      </c>
      <c r="I75" s="83">
        <f>I76+I77+I78+I84+I85+I91+I94+I97</f>
        <v>12614457</v>
      </c>
    </row>
    <row r="76" spans="1:9" ht="12.75" customHeight="1" x14ac:dyDescent="0.2">
      <c r="A76" s="190" t="s">
        <v>61</v>
      </c>
      <c r="B76" s="190"/>
      <c r="C76" s="190"/>
      <c r="D76" s="190"/>
      <c r="E76" s="190"/>
      <c r="F76" s="190"/>
      <c r="G76" s="11">
        <v>68</v>
      </c>
      <c r="H76" s="18">
        <v>6620247</v>
      </c>
      <c r="I76" s="18">
        <v>6650700</v>
      </c>
    </row>
    <row r="77" spans="1:9" ht="12.75" customHeight="1" x14ac:dyDescent="0.2">
      <c r="A77" s="190" t="s">
        <v>62</v>
      </c>
      <c r="B77" s="190"/>
      <c r="C77" s="190"/>
      <c r="D77" s="190"/>
      <c r="E77" s="190"/>
      <c r="F77" s="190"/>
      <c r="G77" s="11">
        <v>69</v>
      </c>
      <c r="H77" s="18">
        <v>1770552</v>
      </c>
      <c r="I77" s="18">
        <v>1677105</v>
      </c>
    </row>
    <row r="78" spans="1:9" ht="12.75" customHeight="1" x14ac:dyDescent="0.2">
      <c r="A78" s="194" t="s">
        <v>63</v>
      </c>
      <c r="B78" s="194"/>
      <c r="C78" s="194"/>
      <c r="D78" s="194"/>
      <c r="E78" s="194"/>
      <c r="F78" s="194"/>
      <c r="G78" s="12">
        <v>70</v>
      </c>
      <c r="H78" s="83">
        <f>SUM(H79:H83)</f>
        <v>445659</v>
      </c>
      <c r="I78" s="83">
        <f>SUM(I79:I83)</f>
        <v>475461</v>
      </c>
    </row>
    <row r="79" spans="1:9" ht="12.75" customHeight="1" x14ac:dyDescent="0.2">
      <c r="A79" s="190" t="s">
        <v>64</v>
      </c>
      <c r="B79" s="190"/>
      <c r="C79" s="190"/>
      <c r="D79" s="190"/>
      <c r="E79" s="190"/>
      <c r="F79" s="190"/>
      <c r="G79" s="11">
        <v>71</v>
      </c>
      <c r="H79" s="18">
        <v>331012</v>
      </c>
      <c r="I79" s="18">
        <v>332535</v>
      </c>
    </row>
    <row r="80" spans="1:9" ht="12.75" customHeight="1" x14ac:dyDescent="0.2">
      <c r="A80" s="190" t="s">
        <v>65</v>
      </c>
      <c r="B80" s="190"/>
      <c r="C80" s="190"/>
      <c r="D80" s="190"/>
      <c r="E80" s="190"/>
      <c r="F80" s="190"/>
      <c r="G80" s="11">
        <v>72</v>
      </c>
      <c r="H80" s="18">
        <v>60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114587</v>
      </c>
      <c r="I83" s="18">
        <v>142926</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371676</v>
      </c>
      <c r="I85" s="82">
        <f>I86+I87+I88+I89+I90</f>
        <v>891512</v>
      </c>
    </row>
    <row r="86" spans="1:9" ht="25.5" customHeight="1" x14ac:dyDescent="0.2">
      <c r="A86" s="190" t="s">
        <v>447</v>
      </c>
      <c r="B86" s="190"/>
      <c r="C86" s="190"/>
      <c r="D86" s="190"/>
      <c r="E86" s="190"/>
      <c r="F86" s="190"/>
      <c r="G86" s="11">
        <v>78</v>
      </c>
      <c r="H86" s="18">
        <v>371676</v>
      </c>
      <c r="I86" s="18">
        <v>891512</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647041</v>
      </c>
      <c r="I91" s="82">
        <f>I92-I93</f>
        <v>1338897</v>
      </c>
    </row>
    <row r="92" spans="1:9" ht="12.75" customHeight="1" x14ac:dyDescent="0.2">
      <c r="A92" s="190" t="s">
        <v>72</v>
      </c>
      <c r="B92" s="190"/>
      <c r="C92" s="190"/>
      <c r="D92" s="190"/>
      <c r="E92" s="190"/>
      <c r="F92" s="190"/>
      <c r="G92" s="11">
        <v>84</v>
      </c>
      <c r="H92" s="18">
        <v>647041</v>
      </c>
      <c r="I92" s="18">
        <v>1338897</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2099649</v>
      </c>
      <c r="I94" s="82">
        <f>I95-I96</f>
        <v>1580782</v>
      </c>
    </row>
    <row r="95" spans="1:9" ht="12.75" customHeight="1" x14ac:dyDescent="0.2">
      <c r="A95" s="190" t="s">
        <v>74</v>
      </c>
      <c r="B95" s="190"/>
      <c r="C95" s="190"/>
      <c r="D95" s="190"/>
      <c r="E95" s="190"/>
      <c r="F95" s="190"/>
      <c r="G95" s="11">
        <v>87</v>
      </c>
      <c r="H95" s="18">
        <v>2099649</v>
      </c>
      <c r="I95" s="18">
        <v>1580782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10273</v>
      </c>
      <c r="I98" s="82">
        <f>SUM(I99:I104)</f>
        <v>11370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10273</v>
      </c>
      <c r="I101" s="18">
        <v>11370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120</v>
      </c>
      <c r="I105" s="82">
        <f>SUM(I106:I116)</f>
        <v>2962763</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2835818</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120</v>
      </c>
      <c r="I115" s="18">
        <v>126945</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4356819</v>
      </c>
      <c r="I117" s="82">
        <f>SUM(I118:I131)</f>
        <v>4322767</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0</v>
      </c>
      <c r="I123" s="18">
        <v>291667</v>
      </c>
    </row>
    <row r="124" spans="1:9" ht="12.75" customHeight="1" x14ac:dyDescent="0.2">
      <c r="A124" s="190" t="s">
        <v>89</v>
      </c>
      <c r="B124" s="190"/>
      <c r="C124" s="190"/>
      <c r="D124" s="190"/>
      <c r="E124" s="190"/>
      <c r="F124" s="190"/>
      <c r="G124" s="11">
        <v>116</v>
      </c>
      <c r="H124" s="18">
        <v>411771</v>
      </c>
      <c r="I124" s="18">
        <v>375986</v>
      </c>
    </row>
    <row r="125" spans="1:9" ht="12.75" customHeight="1" x14ac:dyDescent="0.2">
      <c r="A125" s="190" t="s">
        <v>90</v>
      </c>
      <c r="B125" s="190"/>
      <c r="C125" s="190"/>
      <c r="D125" s="190"/>
      <c r="E125" s="190"/>
      <c r="F125" s="190"/>
      <c r="G125" s="11">
        <v>117</v>
      </c>
      <c r="H125" s="18">
        <v>2619711</v>
      </c>
      <c r="I125" s="18">
        <v>2685971</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345096</v>
      </c>
      <c r="I127" s="18">
        <v>372462</v>
      </c>
    </row>
    <row r="128" spans="1:9" x14ac:dyDescent="0.2">
      <c r="A128" s="190" t="s">
        <v>95</v>
      </c>
      <c r="B128" s="190"/>
      <c r="C128" s="190"/>
      <c r="D128" s="190"/>
      <c r="E128" s="190"/>
      <c r="F128" s="190"/>
      <c r="G128" s="11">
        <v>120</v>
      </c>
      <c r="H128" s="18">
        <v>518440</v>
      </c>
      <c r="I128" s="18">
        <f>48198+276119</f>
        <v>324317</v>
      </c>
    </row>
    <row r="129" spans="1:9" x14ac:dyDescent="0.2">
      <c r="A129" s="190" t="s">
        <v>96</v>
      </c>
      <c r="B129" s="190"/>
      <c r="C129" s="190"/>
      <c r="D129" s="190"/>
      <c r="E129" s="190"/>
      <c r="F129" s="190"/>
      <c r="G129" s="11">
        <v>121</v>
      </c>
      <c r="H129" s="18">
        <v>99327</v>
      </c>
      <c r="I129" s="18">
        <v>105032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362474</v>
      </c>
      <c r="I131" s="18">
        <f>11269+140511+15552</f>
        <v>167332</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16322036</v>
      </c>
      <c r="I133" s="82">
        <f>I75+I98+I105+I117+I132</f>
        <v>19911357</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5" zoomScaleNormal="115" zoomScaleSheetLayoutView="110" workbookViewId="0">
      <selection activeCell="M14" sqref="M1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466</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7546761</v>
      </c>
      <c r="I8" s="48">
        <f>SUM(I9:I13)</f>
        <v>2262711</v>
      </c>
      <c r="J8" s="48">
        <f>SUM(J9:J13)</f>
        <v>6976745</v>
      </c>
      <c r="K8" s="48">
        <f>SUM(K9:K13)</f>
        <v>2073691</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6828521</v>
      </c>
      <c r="I10" s="49">
        <v>1969742</v>
      </c>
      <c r="J10" s="49">
        <v>6070863</v>
      </c>
      <c r="K10" s="49">
        <v>1626937</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718240</v>
      </c>
      <c r="I13" s="49">
        <v>292969</v>
      </c>
      <c r="J13" s="49">
        <v>905882</v>
      </c>
      <c r="K13" s="49">
        <v>446754</v>
      </c>
    </row>
    <row r="14" spans="1:11" ht="12.75" customHeight="1" x14ac:dyDescent="0.2">
      <c r="A14" s="221" t="s">
        <v>360</v>
      </c>
      <c r="B14" s="221"/>
      <c r="C14" s="221"/>
      <c r="D14" s="221"/>
      <c r="E14" s="221"/>
      <c r="F14" s="221"/>
      <c r="G14" s="12">
        <v>7</v>
      </c>
      <c r="H14" s="48">
        <f>H15+H16+H20+H24+H25+H26+H29+H36</f>
        <v>5215738</v>
      </c>
      <c r="I14" s="48">
        <f>I15+I16+I20+I24+I25+I26+I29+I36</f>
        <v>2025043</v>
      </c>
      <c r="J14" s="48">
        <f>J15+J16+J20+J24+J25+J26+J29+J36</f>
        <v>5189365</v>
      </c>
      <c r="K14" s="48">
        <f>K15+K16+K20+K24+K25+K26+K29+K36</f>
        <v>1940693</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823198</v>
      </c>
      <c r="I16" s="48">
        <f>SUM(I17:I19)</f>
        <v>286629</v>
      </c>
      <c r="J16" s="48">
        <f>SUM(J17:J19)</f>
        <v>758983</v>
      </c>
      <c r="K16" s="48">
        <f>SUM(K17:K19)</f>
        <v>169347</v>
      </c>
    </row>
    <row r="17" spans="1:11" ht="12.75" customHeight="1" x14ac:dyDescent="0.2">
      <c r="A17" s="224" t="s">
        <v>120</v>
      </c>
      <c r="B17" s="224"/>
      <c r="C17" s="224"/>
      <c r="D17" s="224"/>
      <c r="E17" s="224"/>
      <c r="F17" s="224"/>
      <c r="G17" s="11">
        <v>10</v>
      </c>
      <c r="H17" s="49">
        <v>51366</v>
      </c>
      <c r="I17" s="49">
        <v>16568</v>
      </c>
      <c r="J17" s="49">
        <v>37970</v>
      </c>
      <c r="K17" s="49">
        <v>11184</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771832</v>
      </c>
      <c r="I19" s="49">
        <v>270061</v>
      </c>
      <c r="J19" s="49">
        <v>721013</v>
      </c>
      <c r="K19" s="49">
        <v>158163</v>
      </c>
    </row>
    <row r="20" spans="1:11" ht="12.75" customHeight="1" x14ac:dyDescent="0.2">
      <c r="A20" s="194" t="s">
        <v>441</v>
      </c>
      <c r="B20" s="194"/>
      <c r="C20" s="194"/>
      <c r="D20" s="194"/>
      <c r="E20" s="194"/>
      <c r="F20" s="194"/>
      <c r="G20" s="12">
        <v>13</v>
      </c>
      <c r="H20" s="48">
        <f>SUM(H21:H23)</f>
        <v>3555914</v>
      </c>
      <c r="I20" s="48">
        <f>SUM(I21:I23)</f>
        <v>1414380</v>
      </c>
      <c r="J20" s="48">
        <f>SUM(J21:J23)</f>
        <v>3683391</v>
      </c>
      <c r="K20" s="48">
        <f>SUM(K21:K23)</f>
        <v>1538876</v>
      </c>
    </row>
    <row r="21" spans="1:11" ht="12.75" customHeight="1" x14ac:dyDescent="0.2">
      <c r="A21" s="224" t="s">
        <v>105</v>
      </c>
      <c r="B21" s="224"/>
      <c r="C21" s="224"/>
      <c r="D21" s="224"/>
      <c r="E21" s="224"/>
      <c r="F21" s="224"/>
      <c r="G21" s="11">
        <v>14</v>
      </c>
      <c r="H21" s="49">
        <v>2391321</v>
      </c>
      <c r="I21" s="49">
        <v>987203</v>
      </c>
      <c r="J21" s="49">
        <v>2425523</v>
      </c>
      <c r="K21" s="49">
        <v>1073487</v>
      </c>
    </row>
    <row r="22" spans="1:11" ht="12.75" customHeight="1" x14ac:dyDescent="0.2">
      <c r="A22" s="224" t="s">
        <v>106</v>
      </c>
      <c r="B22" s="224"/>
      <c r="C22" s="224"/>
      <c r="D22" s="224"/>
      <c r="E22" s="224"/>
      <c r="F22" s="224"/>
      <c r="G22" s="11">
        <v>15</v>
      </c>
      <c r="H22" s="49">
        <v>763934</v>
      </c>
      <c r="I22" s="49">
        <v>284394</v>
      </c>
      <c r="J22" s="49">
        <v>826525</v>
      </c>
      <c r="K22" s="49">
        <v>310104</v>
      </c>
    </row>
    <row r="23" spans="1:11" ht="12.75" customHeight="1" x14ac:dyDescent="0.2">
      <c r="A23" s="224" t="s">
        <v>107</v>
      </c>
      <c r="B23" s="224"/>
      <c r="C23" s="224"/>
      <c r="D23" s="224"/>
      <c r="E23" s="224"/>
      <c r="F23" s="224"/>
      <c r="G23" s="11">
        <v>16</v>
      </c>
      <c r="H23" s="49">
        <v>400659</v>
      </c>
      <c r="I23" s="49">
        <v>142783</v>
      </c>
      <c r="J23" s="49">
        <v>431343</v>
      </c>
      <c r="K23" s="49">
        <v>155285</v>
      </c>
    </row>
    <row r="24" spans="1:11" ht="12.75" customHeight="1" x14ac:dyDescent="0.2">
      <c r="A24" s="190" t="s">
        <v>108</v>
      </c>
      <c r="B24" s="190"/>
      <c r="C24" s="190"/>
      <c r="D24" s="190"/>
      <c r="E24" s="190"/>
      <c r="F24" s="190"/>
      <c r="G24" s="11">
        <v>17</v>
      </c>
      <c r="H24" s="49">
        <v>282952</v>
      </c>
      <c r="I24" s="49">
        <v>69820</v>
      </c>
      <c r="J24" s="49">
        <v>299496</v>
      </c>
      <c r="K24" s="49">
        <v>79720</v>
      </c>
    </row>
    <row r="25" spans="1:11" ht="12.75" customHeight="1" x14ac:dyDescent="0.2">
      <c r="A25" s="190" t="s">
        <v>109</v>
      </c>
      <c r="B25" s="190"/>
      <c r="C25" s="190"/>
      <c r="D25" s="190"/>
      <c r="E25" s="190"/>
      <c r="F25" s="190"/>
      <c r="G25" s="11">
        <v>18</v>
      </c>
      <c r="H25" s="49">
        <f>497053-H32</f>
        <v>486780</v>
      </c>
      <c r="I25" s="49">
        <f>197593-I32</f>
        <v>187320</v>
      </c>
      <c r="J25" s="49">
        <f>433722</f>
        <v>433722</v>
      </c>
      <c r="K25" s="49">
        <v>138977</v>
      </c>
    </row>
    <row r="26" spans="1:11" ht="12.75" customHeight="1" x14ac:dyDescent="0.2">
      <c r="A26" s="194" t="s">
        <v>442</v>
      </c>
      <c r="B26" s="194"/>
      <c r="C26" s="194"/>
      <c r="D26" s="194"/>
      <c r="E26" s="194"/>
      <c r="F26" s="194"/>
      <c r="G26" s="12">
        <v>19</v>
      </c>
      <c r="H26" s="48">
        <f>H27+H28</f>
        <v>56621</v>
      </c>
      <c r="I26" s="48">
        <f>I27+I28</f>
        <v>56621</v>
      </c>
      <c r="J26" s="48">
        <f>J27+J28</f>
        <v>7356</v>
      </c>
      <c r="K26" s="48">
        <f>K27+K28</f>
        <v>7356</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56621</v>
      </c>
      <c r="I28" s="49">
        <v>56621</v>
      </c>
      <c r="J28" s="49">
        <v>7356</v>
      </c>
      <c r="K28" s="49">
        <v>7356</v>
      </c>
    </row>
    <row r="29" spans="1:11" ht="12.75" customHeight="1" x14ac:dyDescent="0.2">
      <c r="A29" s="194" t="s">
        <v>443</v>
      </c>
      <c r="B29" s="194"/>
      <c r="C29" s="194"/>
      <c r="D29" s="194"/>
      <c r="E29" s="194"/>
      <c r="F29" s="194"/>
      <c r="G29" s="12">
        <v>22</v>
      </c>
      <c r="H29" s="48">
        <f>SUM(H30:H35)</f>
        <v>10273</v>
      </c>
      <c r="I29" s="48">
        <f>SUM(I30:I35)</f>
        <v>10273</v>
      </c>
      <c r="J29" s="48">
        <f>SUM(J30:J35)</f>
        <v>6406</v>
      </c>
      <c r="K29" s="48">
        <f>SUM(K30:K35)</f>
        <v>6406</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10273</v>
      </c>
      <c r="I32" s="49">
        <v>10273</v>
      </c>
      <c r="J32" s="49">
        <v>6406</v>
      </c>
      <c r="K32" s="49">
        <v>6406</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11</v>
      </c>
      <c r="K36" s="49">
        <v>11</v>
      </c>
    </row>
    <row r="37" spans="1:11" ht="12.75" customHeight="1" x14ac:dyDescent="0.2">
      <c r="A37" s="221" t="s">
        <v>361</v>
      </c>
      <c r="B37" s="221"/>
      <c r="C37" s="221"/>
      <c r="D37" s="221"/>
      <c r="E37" s="221"/>
      <c r="F37" s="221"/>
      <c r="G37" s="12">
        <v>30</v>
      </c>
      <c r="H37" s="48">
        <f>SUM(H38:H47)</f>
        <v>240667</v>
      </c>
      <c r="I37" s="48">
        <f>SUM(I38:I47)</f>
        <v>226793</v>
      </c>
      <c r="J37" s="48">
        <f>SUM(J38:J47)</f>
        <v>175179</v>
      </c>
      <c r="K37" s="48">
        <f>SUM(K38:K47)</f>
        <v>138850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72268</v>
      </c>
      <c r="I39" s="49">
        <v>72268</v>
      </c>
      <c r="J39" s="49">
        <v>47373</v>
      </c>
      <c r="K39" s="49">
        <v>47373</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22125</v>
      </c>
      <c r="I43" s="49">
        <v>22125</v>
      </c>
      <c r="J43" s="49">
        <v>21158</v>
      </c>
      <c r="K43" s="49">
        <v>21158</v>
      </c>
    </row>
    <row r="44" spans="1:11" ht="12.75" customHeight="1" x14ac:dyDescent="0.2">
      <c r="A44" s="190" t="s">
        <v>137</v>
      </c>
      <c r="B44" s="190"/>
      <c r="C44" s="190"/>
      <c r="D44" s="190"/>
      <c r="E44" s="190"/>
      <c r="F44" s="190"/>
      <c r="G44" s="11">
        <v>37</v>
      </c>
      <c r="H44" s="49">
        <v>36065</v>
      </c>
      <c r="I44" s="49">
        <v>22191</v>
      </c>
      <c r="J44" s="49">
        <v>106648</v>
      </c>
      <c r="K44" s="49">
        <v>70319</v>
      </c>
    </row>
    <row r="45" spans="1:11" ht="12.75" customHeight="1" x14ac:dyDescent="0.2">
      <c r="A45" s="190" t="s">
        <v>138</v>
      </c>
      <c r="B45" s="190"/>
      <c r="C45" s="190"/>
      <c r="D45" s="190"/>
      <c r="E45" s="190"/>
      <c r="F45" s="190"/>
      <c r="G45" s="11">
        <v>38</v>
      </c>
      <c r="H45" s="49">
        <v>110209</v>
      </c>
      <c r="I45" s="49">
        <v>110209</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91</v>
      </c>
      <c r="I48" s="48">
        <f>SUM(I49:I55)</f>
        <v>91</v>
      </c>
      <c r="J48" s="48">
        <f>SUM(J49:J55)</f>
        <v>46969</v>
      </c>
      <c r="K48" s="48">
        <f>SUM(K49:K55)</f>
        <v>46471</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91</v>
      </c>
      <c r="I51" s="49">
        <v>91</v>
      </c>
      <c r="J51" s="49">
        <v>2195</v>
      </c>
      <c r="K51" s="49">
        <v>1697</v>
      </c>
    </row>
    <row r="52" spans="1:11" ht="12.75" customHeight="1" x14ac:dyDescent="0.2">
      <c r="A52" s="214" t="s">
        <v>144</v>
      </c>
      <c r="B52" s="214"/>
      <c r="C52" s="214"/>
      <c r="D52" s="214"/>
      <c r="E52" s="214"/>
      <c r="F52" s="214"/>
      <c r="G52" s="11">
        <v>45</v>
      </c>
      <c r="H52" s="49">
        <v>0</v>
      </c>
      <c r="I52" s="49">
        <v>0</v>
      </c>
      <c r="J52" s="49">
        <v>44774</v>
      </c>
      <c r="K52" s="49">
        <v>44774</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7787428</v>
      </c>
      <c r="I60" s="48">
        <f t="shared" ref="I60:K60" si="0">I8+I37+I56+I57</f>
        <v>2489504</v>
      </c>
      <c r="J60" s="48">
        <f t="shared" si="0"/>
        <v>7151924</v>
      </c>
      <c r="K60" s="48">
        <f t="shared" si="0"/>
        <v>2212541</v>
      </c>
    </row>
    <row r="61" spans="1:11" ht="12.75" customHeight="1" x14ac:dyDescent="0.2">
      <c r="A61" s="221" t="s">
        <v>364</v>
      </c>
      <c r="B61" s="221"/>
      <c r="C61" s="221"/>
      <c r="D61" s="221"/>
      <c r="E61" s="221"/>
      <c r="F61" s="221"/>
      <c r="G61" s="12">
        <v>54</v>
      </c>
      <c r="H61" s="48">
        <f>H14+H48+H58+H59</f>
        <v>5215829</v>
      </c>
      <c r="I61" s="48">
        <f t="shared" ref="I61:K61" si="1">I14+I48+I58+I59</f>
        <v>2025134</v>
      </c>
      <c r="J61" s="48">
        <f t="shared" si="1"/>
        <v>5236334</v>
      </c>
      <c r="K61" s="48">
        <f t="shared" si="1"/>
        <v>1987164</v>
      </c>
    </row>
    <row r="62" spans="1:11" ht="12.75" customHeight="1" x14ac:dyDescent="0.2">
      <c r="A62" s="221" t="s">
        <v>365</v>
      </c>
      <c r="B62" s="221"/>
      <c r="C62" s="221"/>
      <c r="D62" s="221"/>
      <c r="E62" s="221"/>
      <c r="F62" s="221"/>
      <c r="G62" s="12">
        <v>55</v>
      </c>
      <c r="H62" s="48">
        <f>H60-H61</f>
        <v>2571599</v>
      </c>
      <c r="I62" s="48">
        <f t="shared" ref="I62:K62" si="2">I60-I61</f>
        <v>464370</v>
      </c>
      <c r="J62" s="48">
        <f t="shared" si="2"/>
        <v>1915590</v>
      </c>
      <c r="K62" s="48">
        <f t="shared" si="2"/>
        <v>225377</v>
      </c>
    </row>
    <row r="63" spans="1:11" ht="12.75" customHeight="1" x14ac:dyDescent="0.2">
      <c r="A63" s="222" t="s">
        <v>366</v>
      </c>
      <c r="B63" s="222"/>
      <c r="C63" s="222"/>
      <c r="D63" s="222"/>
      <c r="E63" s="222"/>
      <c r="F63" s="222"/>
      <c r="G63" s="12">
        <v>56</v>
      </c>
      <c r="H63" s="48">
        <f>+IF((H60-H61)&gt;0,(H60-H61),0)</f>
        <v>2571599</v>
      </c>
      <c r="I63" s="48">
        <f t="shared" ref="I63:K63" si="3">+IF((I60-I61)&gt;0,(I60-I61),0)</f>
        <v>464370</v>
      </c>
      <c r="J63" s="48">
        <f t="shared" si="3"/>
        <v>1915590</v>
      </c>
      <c r="K63" s="48">
        <f t="shared" si="3"/>
        <v>225377</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471950</v>
      </c>
      <c r="I65" s="49">
        <v>0</v>
      </c>
      <c r="J65" s="49">
        <v>334808</v>
      </c>
      <c r="K65" s="49">
        <v>0</v>
      </c>
    </row>
    <row r="66" spans="1:11" ht="12.75" customHeight="1" x14ac:dyDescent="0.2">
      <c r="A66" s="221" t="s">
        <v>368</v>
      </c>
      <c r="B66" s="221"/>
      <c r="C66" s="221"/>
      <c r="D66" s="221"/>
      <c r="E66" s="221"/>
      <c r="F66" s="221"/>
      <c r="G66" s="12">
        <v>59</v>
      </c>
      <c r="H66" s="48">
        <f>H62-H65</f>
        <v>2099649</v>
      </c>
      <c r="I66" s="48">
        <f t="shared" ref="I66:K66" si="5">I62-I65</f>
        <v>464370</v>
      </c>
      <c r="J66" s="48">
        <f t="shared" si="5"/>
        <v>1580782</v>
      </c>
      <c r="K66" s="48">
        <f t="shared" si="5"/>
        <v>225377</v>
      </c>
    </row>
    <row r="67" spans="1:11" ht="12.75" customHeight="1" x14ac:dyDescent="0.2">
      <c r="A67" s="222" t="s">
        <v>369</v>
      </c>
      <c r="B67" s="222"/>
      <c r="C67" s="222"/>
      <c r="D67" s="222"/>
      <c r="E67" s="222"/>
      <c r="F67" s="222"/>
      <c r="G67" s="12">
        <v>60</v>
      </c>
      <c r="H67" s="48">
        <f>+IF((H62-H65)&gt;0,(H62-H65),0)</f>
        <v>2099649</v>
      </c>
      <c r="I67" s="48">
        <f t="shared" ref="I67:K67" si="6">+IF((I62-I65)&gt;0,(I62-I65),0)</f>
        <v>464370</v>
      </c>
      <c r="J67" s="48">
        <f t="shared" si="6"/>
        <v>1580782</v>
      </c>
      <c r="K67" s="48">
        <f t="shared" si="6"/>
        <v>225377</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2099649</v>
      </c>
      <c r="I89" s="52">
        <v>464370</v>
      </c>
      <c r="J89" s="52">
        <v>1580782</v>
      </c>
      <c r="K89" s="52">
        <v>225377</v>
      </c>
    </row>
    <row r="90" spans="1:11" ht="24" customHeight="1" x14ac:dyDescent="0.2">
      <c r="A90" s="192" t="s">
        <v>437</v>
      </c>
      <c r="B90" s="192"/>
      <c r="C90" s="192"/>
      <c r="D90" s="192"/>
      <c r="E90" s="192"/>
      <c r="F90" s="192"/>
      <c r="G90" s="12">
        <v>79</v>
      </c>
      <c r="H90" s="69">
        <f>H91+H98</f>
        <v>284903</v>
      </c>
      <c r="I90" s="69">
        <f>I91+I98</f>
        <v>284903</v>
      </c>
      <c r="J90" s="69">
        <f t="shared" ref="J90:K90" si="8">J91+J98</f>
        <v>519836</v>
      </c>
      <c r="K90" s="69">
        <f t="shared" si="8"/>
        <v>519836</v>
      </c>
    </row>
    <row r="91" spans="1:11" ht="24" customHeight="1" x14ac:dyDescent="0.2">
      <c r="A91" s="212" t="s">
        <v>444</v>
      </c>
      <c r="B91" s="212"/>
      <c r="C91" s="212"/>
      <c r="D91" s="212"/>
      <c r="E91" s="212"/>
      <c r="F91" s="212"/>
      <c r="G91" s="12">
        <v>80</v>
      </c>
      <c r="H91" s="69">
        <f>SUM(H92:H96)</f>
        <v>284903</v>
      </c>
      <c r="I91" s="69">
        <f>SUM(I92:I96)</f>
        <v>284903</v>
      </c>
      <c r="J91" s="69">
        <f t="shared" ref="J91:K91" si="9">SUM(J92:J96)</f>
        <v>519836</v>
      </c>
      <c r="K91" s="69">
        <f t="shared" si="9"/>
        <v>519836</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284903</v>
      </c>
      <c r="I93" s="52">
        <v>284903</v>
      </c>
      <c r="J93" s="52">
        <v>519836</v>
      </c>
      <c r="K93" s="52">
        <v>519836</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284903</v>
      </c>
      <c r="I108" s="69">
        <f>I91+I98-I107-I97</f>
        <v>284903</v>
      </c>
      <c r="J108" s="69">
        <f t="shared" ref="J108:K108" si="11">J91+J98-J107-J97</f>
        <v>519836</v>
      </c>
      <c r="K108" s="69">
        <f t="shared" si="11"/>
        <v>519836</v>
      </c>
    </row>
    <row r="109" spans="1:11" ht="12.75" customHeight="1" x14ac:dyDescent="0.2">
      <c r="A109" s="192" t="s">
        <v>393</v>
      </c>
      <c r="B109" s="192"/>
      <c r="C109" s="192"/>
      <c r="D109" s="192"/>
      <c r="E109" s="192"/>
      <c r="F109" s="192"/>
      <c r="G109" s="12">
        <v>98</v>
      </c>
      <c r="H109" s="51">
        <f>H89+H108</f>
        <v>2384552</v>
      </c>
      <c r="I109" s="51">
        <f>I89+I108</f>
        <v>749273</v>
      </c>
      <c r="J109" s="51">
        <f t="shared" ref="J109:K109" si="12">J89+J108</f>
        <v>2100618</v>
      </c>
      <c r="K109" s="51">
        <f t="shared" si="12"/>
        <v>745213</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H8" sqref="A8: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2571599</v>
      </c>
      <c r="I8" s="64">
        <v>1915590</v>
      </c>
    </row>
    <row r="9" spans="1:9" ht="12.75" customHeight="1" x14ac:dyDescent="0.2">
      <c r="A9" s="245" t="s">
        <v>171</v>
      </c>
      <c r="B9" s="245"/>
      <c r="C9" s="245"/>
      <c r="D9" s="245"/>
      <c r="E9" s="245"/>
      <c r="F9" s="245"/>
      <c r="G9" s="65">
        <v>2</v>
      </c>
      <c r="H9" s="66">
        <f>H10+H11+H12+H13+H14+H15+H16+H17</f>
        <v>15774</v>
      </c>
      <c r="I9" s="66">
        <f>I10+I11+I12+I13+I14+I15+I16+I17</f>
        <v>412621</v>
      </c>
    </row>
    <row r="10" spans="1:9" ht="12.75" customHeight="1" x14ac:dyDescent="0.2">
      <c r="A10" s="224" t="s">
        <v>172</v>
      </c>
      <c r="B10" s="224"/>
      <c r="C10" s="224"/>
      <c r="D10" s="224"/>
      <c r="E10" s="224"/>
      <c r="F10" s="224"/>
      <c r="G10" s="63">
        <v>3</v>
      </c>
      <c r="H10" s="64">
        <v>282952</v>
      </c>
      <c r="I10" s="64">
        <v>299496</v>
      </c>
    </row>
    <row r="11" spans="1:9" ht="22.15" customHeight="1" x14ac:dyDescent="0.2">
      <c r="A11" s="224" t="s">
        <v>173</v>
      </c>
      <c r="B11" s="224"/>
      <c r="C11" s="224"/>
      <c r="D11" s="224"/>
      <c r="E11" s="224"/>
      <c r="F11" s="224"/>
      <c r="G11" s="63">
        <v>4</v>
      </c>
      <c r="H11" s="64">
        <v>-6269</v>
      </c>
      <c r="I11" s="64">
        <v>-14392</v>
      </c>
    </row>
    <row r="12" spans="1:9" ht="23.45" customHeight="1" x14ac:dyDescent="0.2">
      <c r="A12" s="224" t="s">
        <v>174</v>
      </c>
      <c r="B12" s="224"/>
      <c r="C12" s="224"/>
      <c r="D12" s="224"/>
      <c r="E12" s="224"/>
      <c r="F12" s="224"/>
      <c r="G12" s="63">
        <v>5</v>
      </c>
      <c r="H12" s="64">
        <v>-284903</v>
      </c>
      <c r="I12" s="64">
        <v>-519836</v>
      </c>
    </row>
    <row r="13" spans="1:9" ht="12.75" customHeight="1" x14ac:dyDescent="0.2">
      <c r="A13" s="224" t="s">
        <v>175</v>
      </c>
      <c r="B13" s="224"/>
      <c r="C13" s="224"/>
      <c r="D13" s="224"/>
      <c r="E13" s="224"/>
      <c r="F13" s="224"/>
      <c r="G13" s="63">
        <v>6</v>
      </c>
      <c r="H13" s="64">
        <v>-130457</v>
      </c>
      <c r="I13" s="64">
        <f>-106648-68531</f>
        <v>-175179</v>
      </c>
    </row>
    <row r="14" spans="1:9" ht="12.75" customHeight="1" x14ac:dyDescent="0.2">
      <c r="A14" s="224" t="s">
        <v>176</v>
      </c>
      <c r="B14" s="224"/>
      <c r="C14" s="224"/>
      <c r="D14" s="224"/>
      <c r="E14" s="224"/>
      <c r="F14" s="224"/>
      <c r="G14" s="63">
        <v>7</v>
      </c>
      <c r="H14" s="64">
        <v>91</v>
      </c>
      <c r="I14" s="64">
        <v>2195</v>
      </c>
    </row>
    <row r="15" spans="1:9" ht="12.75" customHeight="1" x14ac:dyDescent="0.2">
      <c r="A15" s="224" t="s">
        <v>177</v>
      </c>
      <c r="B15" s="224"/>
      <c r="C15" s="224"/>
      <c r="D15" s="224"/>
      <c r="E15" s="224"/>
      <c r="F15" s="224"/>
      <c r="G15" s="63">
        <v>8</v>
      </c>
      <c r="H15" s="64">
        <v>90267</v>
      </c>
      <c r="I15" s="64">
        <v>-61183</v>
      </c>
    </row>
    <row r="16" spans="1:9" ht="12.75" customHeight="1" x14ac:dyDescent="0.2">
      <c r="A16" s="224" t="s">
        <v>178</v>
      </c>
      <c r="B16" s="224"/>
      <c r="C16" s="224"/>
      <c r="D16" s="224"/>
      <c r="E16" s="224"/>
      <c r="F16" s="224"/>
      <c r="G16" s="63">
        <v>9</v>
      </c>
      <c r="H16" s="64">
        <v>-99848</v>
      </c>
      <c r="I16" s="64">
        <v>44774</v>
      </c>
    </row>
    <row r="17" spans="1:9" ht="25.15" customHeight="1" x14ac:dyDescent="0.2">
      <c r="A17" s="224" t="s">
        <v>179</v>
      </c>
      <c r="B17" s="224"/>
      <c r="C17" s="224"/>
      <c r="D17" s="224"/>
      <c r="E17" s="224"/>
      <c r="F17" s="224"/>
      <c r="G17" s="63">
        <v>10</v>
      </c>
      <c r="H17" s="64">
        <v>163941</v>
      </c>
      <c r="I17" s="64">
        <v>836746</v>
      </c>
    </row>
    <row r="18" spans="1:9" ht="28.15" customHeight="1" x14ac:dyDescent="0.2">
      <c r="A18" s="241" t="s">
        <v>306</v>
      </c>
      <c r="B18" s="241"/>
      <c r="C18" s="241"/>
      <c r="D18" s="241"/>
      <c r="E18" s="241"/>
      <c r="F18" s="241"/>
      <c r="G18" s="65">
        <v>11</v>
      </c>
      <c r="H18" s="66">
        <f>H8+H9</f>
        <v>2587373</v>
      </c>
      <c r="I18" s="66">
        <f>I8+I9</f>
        <v>2328211</v>
      </c>
    </row>
    <row r="19" spans="1:9" ht="12.75" customHeight="1" x14ac:dyDescent="0.2">
      <c r="A19" s="245" t="s">
        <v>180</v>
      </c>
      <c r="B19" s="245"/>
      <c r="C19" s="245"/>
      <c r="D19" s="245"/>
      <c r="E19" s="245"/>
      <c r="F19" s="245"/>
      <c r="G19" s="65">
        <v>12</v>
      </c>
      <c r="H19" s="66">
        <f>H20+H21+H22+H23</f>
        <v>-194881</v>
      </c>
      <c r="I19" s="66">
        <f>I20+I21+I22+I23</f>
        <v>486147</v>
      </c>
    </row>
    <row r="20" spans="1:9" ht="12.75" customHeight="1" x14ac:dyDescent="0.2">
      <c r="A20" s="224" t="s">
        <v>181</v>
      </c>
      <c r="B20" s="224"/>
      <c r="C20" s="224"/>
      <c r="D20" s="224"/>
      <c r="E20" s="224"/>
      <c r="F20" s="224"/>
      <c r="G20" s="63">
        <v>13</v>
      </c>
      <c r="H20" s="64">
        <v>645145</v>
      </c>
      <c r="I20" s="64">
        <v>-325719</v>
      </c>
    </row>
    <row r="21" spans="1:9" ht="12.75" customHeight="1" x14ac:dyDescent="0.2">
      <c r="A21" s="224" t="s">
        <v>182</v>
      </c>
      <c r="B21" s="224"/>
      <c r="C21" s="224"/>
      <c r="D21" s="224"/>
      <c r="E21" s="224"/>
      <c r="F21" s="224"/>
      <c r="G21" s="63">
        <v>14</v>
      </c>
      <c r="H21" s="64">
        <v>-840026</v>
      </c>
      <c r="I21" s="64">
        <v>809115</v>
      </c>
    </row>
    <row r="22" spans="1:9" ht="12.75" customHeight="1" x14ac:dyDescent="0.2">
      <c r="A22" s="224" t="s">
        <v>183</v>
      </c>
      <c r="B22" s="224"/>
      <c r="C22" s="224"/>
      <c r="D22" s="224"/>
      <c r="E22" s="224"/>
      <c r="F22" s="224"/>
      <c r="G22" s="63">
        <v>15</v>
      </c>
      <c r="H22" s="64">
        <v>0</v>
      </c>
      <c r="I22" s="64">
        <v>2751</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2392492</v>
      </c>
      <c r="I24" s="66">
        <f>I18+I19</f>
        <v>2814358</v>
      </c>
    </row>
    <row r="25" spans="1:9" ht="12.75" customHeight="1" x14ac:dyDescent="0.2">
      <c r="A25" s="190" t="s">
        <v>186</v>
      </c>
      <c r="B25" s="190"/>
      <c r="C25" s="190"/>
      <c r="D25" s="190"/>
      <c r="E25" s="190"/>
      <c r="F25" s="190"/>
      <c r="G25" s="63">
        <v>18</v>
      </c>
      <c r="H25" s="64">
        <v>-91</v>
      </c>
      <c r="I25" s="64">
        <v>-2195</v>
      </c>
    </row>
    <row r="26" spans="1:9" ht="12.75" customHeight="1" x14ac:dyDescent="0.2">
      <c r="A26" s="190" t="s">
        <v>187</v>
      </c>
      <c r="B26" s="190"/>
      <c r="C26" s="190"/>
      <c r="D26" s="190"/>
      <c r="E26" s="190"/>
      <c r="F26" s="190"/>
      <c r="G26" s="63">
        <v>19</v>
      </c>
      <c r="H26" s="64">
        <v>-298515</v>
      </c>
      <c r="I26" s="64">
        <v>-545808</v>
      </c>
    </row>
    <row r="27" spans="1:9" ht="25.9" customHeight="1" x14ac:dyDescent="0.2">
      <c r="A27" s="242" t="s">
        <v>188</v>
      </c>
      <c r="B27" s="242"/>
      <c r="C27" s="242"/>
      <c r="D27" s="242"/>
      <c r="E27" s="242"/>
      <c r="F27" s="242"/>
      <c r="G27" s="65">
        <v>20</v>
      </c>
      <c r="H27" s="66">
        <f>H24+H25+H26</f>
        <v>2093886</v>
      </c>
      <c r="I27" s="66">
        <f>I24+I25+I26</f>
        <v>2266355</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6371</v>
      </c>
      <c r="I29" s="67">
        <v>14392</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23081</v>
      </c>
      <c r="I31" s="67">
        <v>74870</v>
      </c>
    </row>
    <row r="32" spans="1:9" ht="12.75" customHeight="1" x14ac:dyDescent="0.2">
      <c r="A32" s="190" t="s">
        <v>193</v>
      </c>
      <c r="B32" s="190"/>
      <c r="C32" s="190"/>
      <c r="D32" s="190"/>
      <c r="E32" s="190"/>
      <c r="F32" s="190"/>
      <c r="G32" s="63">
        <v>24</v>
      </c>
      <c r="H32" s="67">
        <v>117314</v>
      </c>
      <c r="I32" s="67">
        <v>74003</v>
      </c>
    </row>
    <row r="33" spans="1:9" ht="12.75" customHeight="1" x14ac:dyDescent="0.2">
      <c r="A33" s="190" t="s">
        <v>194</v>
      </c>
      <c r="B33" s="190"/>
      <c r="C33" s="190"/>
      <c r="D33" s="190"/>
      <c r="E33" s="190"/>
      <c r="F33" s="190"/>
      <c r="G33" s="63">
        <v>25</v>
      </c>
      <c r="H33" s="67">
        <v>269062</v>
      </c>
      <c r="I33" s="67">
        <v>5437375</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415828</v>
      </c>
      <c r="I35" s="68">
        <f>I29+I30+I31+I32+I33+I34</f>
        <v>5600640</v>
      </c>
    </row>
    <row r="36" spans="1:9" ht="22.9" customHeight="1" x14ac:dyDescent="0.2">
      <c r="A36" s="190" t="s">
        <v>197</v>
      </c>
      <c r="B36" s="190"/>
      <c r="C36" s="190"/>
      <c r="D36" s="190"/>
      <c r="E36" s="190"/>
      <c r="F36" s="190"/>
      <c r="G36" s="63">
        <v>28</v>
      </c>
      <c r="H36" s="67">
        <v>-79614</v>
      </c>
      <c r="I36" s="67">
        <v>-3466032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-1409848</v>
      </c>
      <c r="I38" s="67">
        <v>-3300086</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-1489462</v>
      </c>
      <c r="I41" s="68">
        <f>I36+I37+I38+I39+I40</f>
        <v>-6766118</v>
      </c>
    </row>
    <row r="42" spans="1:9" ht="29.45" customHeight="1" x14ac:dyDescent="0.2">
      <c r="A42" s="242" t="s">
        <v>203</v>
      </c>
      <c r="B42" s="242"/>
      <c r="C42" s="242"/>
      <c r="D42" s="242"/>
      <c r="E42" s="242"/>
      <c r="F42" s="242"/>
      <c r="G42" s="65">
        <v>34</v>
      </c>
      <c r="H42" s="68">
        <f>H35+H41</f>
        <v>-1073634</v>
      </c>
      <c r="I42" s="68">
        <f>I35+I41</f>
        <v>-1165478</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3127485</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3127485</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-1180525</v>
      </c>
      <c r="I50" s="67">
        <v>-1435280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-1180525</v>
      </c>
      <c r="I54" s="68">
        <f>I49+I50+I51+I52+I53</f>
        <v>-1435280</v>
      </c>
    </row>
    <row r="55" spans="1:9" ht="29.45" customHeight="1" x14ac:dyDescent="0.2">
      <c r="A55" s="242" t="s">
        <v>215</v>
      </c>
      <c r="B55" s="242"/>
      <c r="C55" s="242"/>
      <c r="D55" s="242"/>
      <c r="E55" s="242"/>
      <c r="F55" s="242"/>
      <c r="G55" s="65">
        <v>46</v>
      </c>
      <c r="H55" s="68">
        <f>H48+H54</f>
        <v>-1180525</v>
      </c>
      <c r="I55" s="68">
        <f>I48+I54</f>
        <v>1692205</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-160273</v>
      </c>
      <c r="I57" s="68">
        <f>I27+I42+I55+I56</f>
        <v>2793082</v>
      </c>
    </row>
    <row r="58" spans="1:9" x14ac:dyDescent="0.2">
      <c r="A58" s="244" t="s">
        <v>218</v>
      </c>
      <c r="B58" s="244"/>
      <c r="C58" s="244"/>
      <c r="D58" s="244"/>
      <c r="E58" s="244"/>
      <c r="F58" s="244"/>
      <c r="G58" s="63">
        <v>49</v>
      </c>
      <c r="H58" s="67">
        <v>2456981</v>
      </c>
      <c r="I58" s="67">
        <v>2296708</v>
      </c>
    </row>
    <row r="59" spans="1:9" ht="31.15" customHeight="1" x14ac:dyDescent="0.2">
      <c r="A59" s="242" t="s">
        <v>219</v>
      </c>
      <c r="B59" s="242"/>
      <c r="C59" s="242"/>
      <c r="D59" s="242"/>
      <c r="E59" s="242"/>
      <c r="F59" s="242"/>
      <c r="G59" s="65">
        <v>50</v>
      </c>
      <c r="H59" s="68">
        <f>H57+H58</f>
        <v>2296708</v>
      </c>
      <c r="I59" s="68">
        <f>I57+I58</f>
        <v>5089790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K24" sqref="K2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85" zoomScaleNormal="85" zoomScaleSheetLayoutView="80" workbookViewId="0">
      <selection activeCell="Q14" sqref="Q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45291</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6620247</v>
      </c>
      <c r="I7" s="33">
        <v>1832083</v>
      </c>
      <c r="J7" s="33">
        <v>331012</v>
      </c>
      <c r="K7" s="33">
        <v>60</v>
      </c>
      <c r="L7" s="33">
        <v>0</v>
      </c>
      <c r="M7" s="33">
        <v>0</v>
      </c>
      <c r="N7" s="33">
        <v>187249</v>
      </c>
      <c r="O7" s="33">
        <v>0</v>
      </c>
      <c r="P7" s="33">
        <v>86773</v>
      </c>
      <c r="Q7" s="33">
        <v>0</v>
      </c>
      <c r="R7" s="33">
        <v>0</v>
      </c>
      <c r="S7" s="33">
        <v>0</v>
      </c>
      <c r="T7" s="33">
        <v>0</v>
      </c>
      <c r="U7" s="33">
        <v>566034</v>
      </c>
      <c r="V7" s="33">
        <v>1123746</v>
      </c>
      <c r="W7" s="34">
        <f>H7+I7+J7+K7-L7+M7+N7+O7+P7+Q7+R7+U7+V7+S7+T7</f>
        <v>10747204</v>
      </c>
      <c r="X7" s="33">
        <v>0</v>
      </c>
      <c r="Y7" s="34">
        <f>W7+X7</f>
        <v>10747204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6620247</v>
      </c>
      <c r="I10" s="34">
        <f t="shared" ref="I10:Y10" si="2">I7+I8+I9</f>
        <v>1832083</v>
      </c>
      <c r="J10" s="34">
        <f t="shared" si="2"/>
        <v>331012</v>
      </c>
      <c r="K10" s="34">
        <f>K7+K8+K9</f>
        <v>60</v>
      </c>
      <c r="L10" s="34">
        <f t="shared" si="2"/>
        <v>0</v>
      </c>
      <c r="M10" s="34">
        <f t="shared" si="2"/>
        <v>0</v>
      </c>
      <c r="N10" s="34">
        <f t="shared" si="2"/>
        <v>187249</v>
      </c>
      <c r="O10" s="34">
        <f t="shared" si="2"/>
        <v>0</v>
      </c>
      <c r="P10" s="34">
        <f t="shared" si="2"/>
        <v>86773</v>
      </c>
      <c r="Q10" s="34">
        <f t="shared" si="2"/>
        <v>0</v>
      </c>
      <c r="R10" s="34">
        <f t="shared" si="2"/>
        <v>0</v>
      </c>
      <c r="S10" s="34">
        <f t="shared" si="2"/>
        <v>0</v>
      </c>
      <c r="T10" s="34">
        <f t="shared" si="2"/>
        <v>0</v>
      </c>
      <c r="U10" s="34">
        <f t="shared" si="2"/>
        <v>566034</v>
      </c>
      <c r="V10" s="34">
        <f t="shared" si="2"/>
        <v>1123746</v>
      </c>
      <c r="W10" s="34">
        <f t="shared" si="2"/>
        <v>10747204</v>
      </c>
      <c r="X10" s="34">
        <f t="shared" si="2"/>
        <v>0</v>
      </c>
      <c r="Y10" s="34">
        <f t="shared" si="2"/>
        <v>10747204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2099649</v>
      </c>
      <c r="W11" s="34">
        <f t="shared" ref="W11:W29" si="3">H11+I11+J11+K11-L11+M11+N11+O11+P11+Q11+R11+U11+V11+S11+T11</f>
        <v>2099649</v>
      </c>
      <c r="X11" s="33">
        <v>0</v>
      </c>
      <c r="Y11" s="34">
        <f t="shared" ref="Y11:Y29" si="4">W11+X11</f>
        <v>2099649</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284903</v>
      </c>
      <c r="Q14" s="35">
        <v>0</v>
      </c>
      <c r="R14" s="35">
        <v>0</v>
      </c>
      <c r="S14" s="33">
        <v>0</v>
      </c>
      <c r="T14" s="33">
        <v>0</v>
      </c>
      <c r="U14" s="33">
        <v>0</v>
      </c>
      <c r="V14" s="33">
        <v>0</v>
      </c>
      <c r="W14" s="34">
        <f t="shared" si="3"/>
        <v>284903</v>
      </c>
      <c r="X14" s="33">
        <v>0</v>
      </c>
      <c r="Y14" s="34">
        <f t="shared" si="4"/>
        <v>284903</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-95189</v>
      </c>
      <c r="O19" s="33">
        <v>0</v>
      </c>
      <c r="P19" s="33">
        <v>0</v>
      </c>
      <c r="Q19" s="33">
        <v>0</v>
      </c>
      <c r="R19" s="33">
        <v>0</v>
      </c>
      <c r="S19" s="33">
        <v>0</v>
      </c>
      <c r="T19" s="33">
        <v>0</v>
      </c>
      <c r="U19" s="33">
        <v>95189</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-1176932</v>
      </c>
      <c r="V26" s="33">
        <v>0</v>
      </c>
      <c r="W26" s="34">
        <f t="shared" si="3"/>
        <v>-1176932</v>
      </c>
      <c r="X26" s="33">
        <v>0</v>
      </c>
      <c r="Y26" s="34">
        <f t="shared" si="4"/>
        <v>-1176932</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-61531</v>
      </c>
      <c r="J28" s="33">
        <v>0</v>
      </c>
      <c r="K28" s="33">
        <v>0</v>
      </c>
      <c r="L28" s="33">
        <v>0</v>
      </c>
      <c r="M28" s="33">
        <v>0</v>
      </c>
      <c r="N28" s="33">
        <v>22527</v>
      </c>
      <c r="O28" s="33">
        <v>0</v>
      </c>
      <c r="P28" s="33">
        <v>0</v>
      </c>
      <c r="Q28" s="33">
        <v>0</v>
      </c>
      <c r="R28" s="33">
        <v>0</v>
      </c>
      <c r="S28" s="33">
        <v>0</v>
      </c>
      <c r="T28" s="33">
        <v>0</v>
      </c>
      <c r="U28" s="33">
        <v>1162750</v>
      </c>
      <c r="V28" s="33">
        <v>-1123746</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6620247</v>
      </c>
      <c r="I30" s="36">
        <f t="shared" ref="I30:Y30" si="5">SUM(I10:I29)</f>
        <v>1770552</v>
      </c>
      <c r="J30" s="36">
        <f t="shared" si="5"/>
        <v>331012</v>
      </c>
      <c r="K30" s="36">
        <f t="shared" si="5"/>
        <v>60</v>
      </c>
      <c r="L30" s="36">
        <f t="shared" si="5"/>
        <v>0</v>
      </c>
      <c r="M30" s="36">
        <f t="shared" si="5"/>
        <v>0</v>
      </c>
      <c r="N30" s="36">
        <f t="shared" si="5"/>
        <v>114587</v>
      </c>
      <c r="O30" s="36">
        <f t="shared" si="5"/>
        <v>0</v>
      </c>
      <c r="P30" s="36">
        <f t="shared" si="5"/>
        <v>371676</v>
      </c>
      <c r="Q30" s="36">
        <f t="shared" si="5"/>
        <v>0</v>
      </c>
      <c r="R30" s="36">
        <f t="shared" si="5"/>
        <v>0</v>
      </c>
      <c r="S30" s="36">
        <f t="shared" si="5"/>
        <v>0</v>
      </c>
      <c r="T30" s="36">
        <f t="shared" si="5"/>
        <v>0</v>
      </c>
      <c r="U30" s="36">
        <f t="shared" si="5"/>
        <v>647041</v>
      </c>
      <c r="V30" s="36">
        <f t="shared" si="5"/>
        <v>2099649</v>
      </c>
      <c r="W30" s="36">
        <f t="shared" si="5"/>
        <v>11954824</v>
      </c>
      <c r="X30" s="36">
        <f t="shared" si="5"/>
        <v>0</v>
      </c>
      <c r="Y30" s="36">
        <f t="shared" si="5"/>
        <v>11954824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-95189</v>
      </c>
      <c r="O32" s="34">
        <f t="shared" si="6"/>
        <v>0</v>
      </c>
      <c r="P32" s="34">
        <f t="shared" si="6"/>
        <v>284903</v>
      </c>
      <c r="Q32" s="34">
        <f t="shared" si="6"/>
        <v>0</v>
      </c>
      <c r="R32" s="34">
        <f t="shared" si="6"/>
        <v>0</v>
      </c>
      <c r="S32" s="34">
        <f t="shared" ref="S32:T32" si="7">SUM(S12:S20)</f>
        <v>0</v>
      </c>
      <c r="T32" s="34">
        <f t="shared" si="7"/>
        <v>0</v>
      </c>
      <c r="U32" s="34">
        <f t="shared" si="6"/>
        <v>95189</v>
      </c>
      <c r="V32" s="34">
        <f t="shared" si="6"/>
        <v>0</v>
      </c>
      <c r="W32" s="34">
        <f t="shared" si="6"/>
        <v>284903</v>
      </c>
      <c r="X32" s="34">
        <f t="shared" si="6"/>
        <v>0</v>
      </c>
      <c r="Y32" s="34">
        <f t="shared" si="6"/>
        <v>284903</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-95189</v>
      </c>
      <c r="O33" s="34">
        <f t="shared" si="8"/>
        <v>0</v>
      </c>
      <c r="P33" s="34">
        <f t="shared" si="8"/>
        <v>284903</v>
      </c>
      <c r="Q33" s="34">
        <f t="shared" si="8"/>
        <v>0</v>
      </c>
      <c r="R33" s="34">
        <f t="shared" si="8"/>
        <v>0</v>
      </c>
      <c r="S33" s="34">
        <f t="shared" ref="S33:T33" si="9">S11+S32</f>
        <v>0</v>
      </c>
      <c r="T33" s="34">
        <f t="shared" si="9"/>
        <v>0</v>
      </c>
      <c r="U33" s="34">
        <f t="shared" si="8"/>
        <v>95189</v>
      </c>
      <c r="V33" s="34">
        <f t="shared" si="8"/>
        <v>2099649</v>
      </c>
      <c r="W33" s="34">
        <f t="shared" si="8"/>
        <v>2384552</v>
      </c>
      <c r="X33" s="34">
        <f t="shared" si="8"/>
        <v>0</v>
      </c>
      <c r="Y33" s="34">
        <f t="shared" si="8"/>
        <v>2384552</v>
      </c>
    </row>
    <row r="34" spans="1:25" ht="30.75" customHeight="1" x14ac:dyDescent="0.2">
      <c r="A34" s="276" t="s">
        <v>429</v>
      </c>
      <c r="B34" s="276"/>
      <c r="C34" s="276"/>
      <c r="D34" s="276"/>
      <c r="E34" s="276"/>
      <c r="F34" s="276"/>
      <c r="G34" s="8">
        <v>27</v>
      </c>
      <c r="H34" s="36">
        <f>SUM(H21:H29)</f>
        <v>0</v>
      </c>
      <c r="I34" s="36">
        <f t="shared" ref="I34:Y34" si="10">SUM(I21:I29)</f>
        <v>-61531</v>
      </c>
      <c r="J34" s="36">
        <f t="shared" si="10"/>
        <v>0</v>
      </c>
      <c r="K34" s="36">
        <f t="shared" si="10"/>
        <v>0</v>
      </c>
      <c r="L34" s="36">
        <f t="shared" si="10"/>
        <v>0</v>
      </c>
      <c r="M34" s="36">
        <f t="shared" si="10"/>
        <v>0</v>
      </c>
      <c r="N34" s="36">
        <f t="shared" si="10"/>
        <v>22527</v>
      </c>
      <c r="O34" s="36">
        <f t="shared" si="10"/>
        <v>0</v>
      </c>
      <c r="P34" s="36">
        <f t="shared" si="10"/>
        <v>0</v>
      </c>
      <c r="Q34" s="36">
        <f t="shared" si="10"/>
        <v>0</v>
      </c>
      <c r="R34" s="36">
        <f t="shared" si="10"/>
        <v>0</v>
      </c>
      <c r="S34" s="36">
        <f t="shared" ref="S34:T34" si="11">SUM(S21:S29)</f>
        <v>0</v>
      </c>
      <c r="T34" s="36">
        <f t="shared" si="11"/>
        <v>0</v>
      </c>
      <c r="U34" s="36">
        <f t="shared" si="10"/>
        <v>-14182</v>
      </c>
      <c r="V34" s="36">
        <f t="shared" si="10"/>
        <v>-1123746</v>
      </c>
      <c r="W34" s="36">
        <f t="shared" si="10"/>
        <v>-1176932</v>
      </c>
      <c r="X34" s="36">
        <f t="shared" si="10"/>
        <v>0</v>
      </c>
      <c r="Y34" s="36">
        <f t="shared" si="10"/>
        <v>-1176932</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6620247</v>
      </c>
      <c r="I36" s="33">
        <v>1770552</v>
      </c>
      <c r="J36" s="33">
        <v>331012</v>
      </c>
      <c r="K36" s="33">
        <v>60</v>
      </c>
      <c r="L36" s="33">
        <v>0</v>
      </c>
      <c r="M36" s="33">
        <v>0</v>
      </c>
      <c r="N36" s="33">
        <v>114587</v>
      </c>
      <c r="O36" s="33">
        <v>0</v>
      </c>
      <c r="P36" s="33">
        <v>371676</v>
      </c>
      <c r="Q36" s="33">
        <v>0</v>
      </c>
      <c r="R36" s="33">
        <v>0</v>
      </c>
      <c r="S36" s="33">
        <v>0</v>
      </c>
      <c r="T36" s="33">
        <v>0</v>
      </c>
      <c r="U36" s="33">
        <v>647041</v>
      </c>
      <c r="V36" s="33">
        <v>2099649</v>
      </c>
      <c r="W36" s="37">
        <f>H36+I36+J36+K36-L36+M36+N36+O36+P36+Q36+R36+U36+V36+S36+T36</f>
        <v>11954824</v>
      </c>
      <c r="X36" s="33">
        <v>0</v>
      </c>
      <c r="Y36" s="37">
        <f t="shared" ref="Y36:Y38" si="12">W36+X36</f>
        <v>11954824</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6620247</v>
      </c>
      <c r="I39" s="34">
        <f t="shared" ref="I39:Y39" si="14">I36+I37+I38</f>
        <v>1770552</v>
      </c>
      <c r="J39" s="34">
        <f t="shared" si="14"/>
        <v>331012</v>
      </c>
      <c r="K39" s="34">
        <f t="shared" si="14"/>
        <v>60</v>
      </c>
      <c r="L39" s="34">
        <f t="shared" si="14"/>
        <v>0</v>
      </c>
      <c r="M39" s="34">
        <f t="shared" si="14"/>
        <v>0</v>
      </c>
      <c r="N39" s="34">
        <f t="shared" si="14"/>
        <v>114587</v>
      </c>
      <c r="O39" s="34">
        <f t="shared" si="14"/>
        <v>0</v>
      </c>
      <c r="P39" s="34">
        <f t="shared" si="14"/>
        <v>371676</v>
      </c>
      <c r="Q39" s="34">
        <f t="shared" si="14"/>
        <v>0</v>
      </c>
      <c r="R39" s="34">
        <f t="shared" si="14"/>
        <v>0</v>
      </c>
      <c r="S39" s="34">
        <f t="shared" si="14"/>
        <v>0</v>
      </c>
      <c r="T39" s="34">
        <f t="shared" si="14"/>
        <v>0</v>
      </c>
      <c r="U39" s="34">
        <f t="shared" si="14"/>
        <v>647041</v>
      </c>
      <c r="V39" s="34">
        <f t="shared" si="14"/>
        <v>2099649</v>
      </c>
      <c r="W39" s="34">
        <f t="shared" si="14"/>
        <v>11954824</v>
      </c>
      <c r="X39" s="34">
        <f t="shared" si="14"/>
        <v>0</v>
      </c>
      <c r="Y39" s="34">
        <f t="shared" si="14"/>
        <v>11954824</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1580782</v>
      </c>
      <c r="W40" s="37">
        <f t="shared" ref="W40:W58" si="15">H40+I40+J40+K40-L40+M40+N40+O40+P40+Q40+R40+U40+V40+S40+T40</f>
        <v>1580782</v>
      </c>
      <c r="X40" s="33">
        <v>0</v>
      </c>
      <c r="Y40" s="37">
        <f t="shared" ref="Y40:Y58" si="16">W40+X40</f>
        <v>1580782</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519836</v>
      </c>
      <c r="Q43" s="35">
        <v>0</v>
      </c>
      <c r="R43" s="35">
        <v>0</v>
      </c>
      <c r="S43" s="33">
        <v>0</v>
      </c>
      <c r="T43" s="33">
        <v>0</v>
      </c>
      <c r="U43" s="33">
        <v>0</v>
      </c>
      <c r="V43" s="33">
        <v>0</v>
      </c>
      <c r="W43" s="37">
        <f t="shared" si="15"/>
        <v>519836</v>
      </c>
      <c r="X43" s="33">
        <v>0</v>
      </c>
      <c r="Y43" s="37">
        <f t="shared" si="16"/>
        <v>519836</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30453</v>
      </c>
      <c r="I48" s="33">
        <f>-H48</f>
        <v>-30453</v>
      </c>
      <c r="J48" s="33">
        <v>0</v>
      </c>
      <c r="K48" s="33">
        <v>0</v>
      </c>
      <c r="L48" s="33">
        <v>0</v>
      </c>
      <c r="M48" s="33">
        <v>0</v>
      </c>
      <c r="N48" s="33">
        <v>-52845</v>
      </c>
      <c r="O48" s="33">
        <v>0</v>
      </c>
      <c r="P48" s="33">
        <v>0</v>
      </c>
      <c r="Q48" s="33">
        <v>0</v>
      </c>
      <c r="R48" s="33">
        <v>0</v>
      </c>
      <c r="S48" s="33">
        <v>0</v>
      </c>
      <c r="T48" s="33">
        <v>0</v>
      </c>
      <c r="U48" s="33">
        <v>52845</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-1440985</v>
      </c>
      <c r="V55" s="33">
        <v>0</v>
      </c>
      <c r="W55" s="37">
        <f t="shared" si="15"/>
        <v>-1440985</v>
      </c>
      <c r="X55" s="33">
        <v>0</v>
      </c>
      <c r="Y55" s="37">
        <f t="shared" si="16"/>
        <v>-1440985</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-62994</v>
      </c>
      <c r="J57" s="33">
        <v>1523</v>
      </c>
      <c r="K57" s="33">
        <v>-60</v>
      </c>
      <c r="L57" s="33">
        <v>0</v>
      </c>
      <c r="M57" s="33">
        <v>0</v>
      </c>
      <c r="N57" s="33">
        <f>28339+52845</f>
        <v>81184</v>
      </c>
      <c r="O57" s="33">
        <v>0</v>
      </c>
      <c r="P57" s="33">
        <v>0</v>
      </c>
      <c r="Q57" s="33">
        <v>0</v>
      </c>
      <c r="R57" s="33">
        <v>0</v>
      </c>
      <c r="S57" s="33">
        <v>0</v>
      </c>
      <c r="T57" s="33">
        <v>0</v>
      </c>
      <c r="U57" s="33">
        <f>2132841-52845</f>
        <v>2079996</v>
      </c>
      <c r="V57" s="33">
        <v>-2099649</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6650700</v>
      </c>
      <c r="I59" s="36">
        <f t="shared" ref="I59:Y59" si="17">SUM(I39:I58)</f>
        <v>1677105</v>
      </c>
      <c r="J59" s="36">
        <f t="shared" si="17"/>
        <v>332535</v>
      </c>
      <c r="K59" s="36">
        <f t="shared" si="17"/>
        <v>0</v>
      </c>
      <c r="L59" s="36">
        <f t="shared" si="17"/>
        <v>0</v>
      </c>
      <c r="M59" s="36">
        <f t="shared" si="17"/>
        <v>0</v>
      </c>
      <c r="N59" s="36">
        <f t="shared" si="17"/>
        <v>142926</v>
      </c>
      <c r="O59" s="36">
        <f t="shared" si="17"/>
        <v>0</v>
      </c>
      <c r="P59" s="36">
        <f t="shared" si="17"/>
        <v>891512</v>
      </c>
      <c r="Q59" s="36">
        <f t="shared" si="17"/>
        <v>0</v>
      </c>
      <c r="R59" s="36">
        <f t="shared" si="17"/>
        <v>0</v>
      </c>
      <c r="S59" s="36">
        <f t="shared" si="17"/>
        <v>0</v>
      </c>
      <c r="T59" s="36">
        <f t="shared" si="17"/>
        <v>0</v>
      </c>
      <c r="U59" s="36">
        <f t="shared" si="17"/>
        <v>1338897</v>
      </c>
      <c r="V59" s="36">
        <f t="shared" si="17"/>
        <v>1580782</v>
      </c>
      <c r="W59" s="36">
        <f t="shared" si="17"/>
        <v>12614457</v>
      </c>
      <c r="X59" s="36">
        <f t="shared" si="17"/>
        <v>0</v>
      </c>
      <c r="Y59" s="36">
        <f t="shared" si="17"/>
        <v>12614457</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30453</v>
      </c>
      <c r="I61" s="37">
        <f t="shared" ref="I61:Y61" si="18">SUM(I41:I49)</f>
        <v>-30453</v>
      </c>
      <c r="J61" s="37">
        <f t="shared" si="18"/>
        <v>0</v>
      </c>
      <c r="K61" s="37">
        <f t="shared" si="18"/>
        <v>0</v>
      </c>
      <c r="L61" s="37">
        <f t="shared" si="18"/>
        <v>0</v>
      </c>
      <c r="M61" s="37">
        <f t="shared" si="18"/>
        <v>0</v>
      </c>
      <c r="N61" s="37">
        <f t="shared" si="18"/>
        <v>-52845</v>
      </c>
      <c r="O61" s="37">
        <f t="shared" si="18"/>
        <v>0</v>
      </c>
      <c r="P61" s="37">
        <f t="shared" si="18"/>
        <v>519836</v>
      </c>
      <c r="Q61" s="37">
        <f t="shared" si="18"/>
        <v>0</v>
      </c>
      <c r="R61" s="37">
        <f t="shared" si="18"/>
        <v>0</v>
      </c>
      <c r="S61" s="37">
        <f t="shared" ref="S61:T61" si="19">SUM(S41:S49)</f>
        <v>0</v>
      </c>
      <c r="T61" s="37">
        <f t="shared" si="19"/>
        <v>0</v>
      </c>
      <c r="U61" s="37">
        <f t="shared" si="18"/>
        <v>52845</v>
      </c>
      <c r="V61" s="37">
        <f t="shared" si="18"/>
        <v>0</v>
      </c>
      <c r="W61" s="37">
        <f t="shared" si="18"/>
        <v>519836</v>
      </c>
      <c r="X61" s="37">
        <f t="shared" si="18"/>
        <v>0</v>
      </c>
      <c r="Y61" s="37">
        <f t="shared" si="18"/>
        <v>519836</v>
      </c>
    </row>
    <row r="62" spans="1:25" ht="27.75" customHeight="1" x14ac:dyDescent="0.2">
      <c r="A62" s="275" t="s">
        <v>435</v>
      </c>
      <c r="B62" s="275"/>
      <c r="C62" s="275"/>
      <c r="D62" s="275"/>
      <c r="E62" s="275"/>
      <c r="F62" s="275"/>
      <c r="G62" s="7">
        <v>53</v>
      </c>
      <c r="H62" s="37">
        <f>H40+H61</f>
        <v>30453</v>
      </c>
      <c r="I62" s="37">
        <f t="shared" ref="I62:Y62" si="20">I40+I61</f>
        <v>-30453</v>
      </c>
      <c r="J62" s="37">
        <f t="shared" si="20"/>
        <v>0</v>
      </c>
      <c r="K62" s="37">
        <f t="shared" si="20"/>
        <v>0</v>
      </c>
      <c r="L62" s="37">
        <f t="shared" si="20"/>
        <v>0</v>
      </c>
      <c r="M62" s="37">
        <f t="shared" si="20"/>
        <v>0</v>
      </c>
      <c r="N62" s="37">
        <f t="shared" si="20"/>
        <v>-52845</v>
      </c>
      <c r="O62" s="37">
        <f t="shared" si="20"/>
        <v>0</v>
      </c>
      <c r="P62" s="37">
        <f t="shared" si="20"/>
        <v>519836</v>
      </c>
      <c r="Q62" s="37">
        <f t="shared" si="20"/>
        <v>0</v>
      </c>
      <c r="R62" s="37">
        <f t="shared" si="20"/>
        <v>0</v>
      </c>
      <c r="S62" s="37">
        <f t="shared" ref="S62:T62" si="21">S40+S61</f>
        <v>0</v>
      </c>
      <c r="T62" s="37">
        <f t="shared" si="21"/>
        <v>0</v>
      </c>
      <c r="U62" s="37">
        <f t="shared" si="20"/>
        <v>52845</v>
      </c>
      <c r="V62" s="37">
        <f t="shared" si="20"/>
        <v>1580782</v>
      </c>
      <c r="W62" s="37">
        <f t="shared" si="20"/>
        <v>2100618</v>
      </c>
      <c r="X62" s="37">
        <f t="shared" si="20"/>
        <v>0</v>
      </c>
      <c r="Y62" s="37">
        <f t="shared" si="20"/>
        <v>2100618</v>
      </c>
    </row>
    <row r="63" spans="1:25" ht="29.25" customHeight="1" x14ac:dyDescent="0.2">
      <c r="A63" s="276" t="s">
        <v>436</v>
      </c>
      <c r="B63" s="276"/>
      <c r="C63" s="276"/>
      <c r="D63" s="276"/>
      <c r="E63" s="276"/>
      <c r="F63" s="276"/>
      <c r="G63" s="8">
        <v>54</v>
      </c>
      <c r="H63" s="38">
        <f>SUM(H50:H58)</f>
        <v>0</v>
      </c>
      <c r="I63" s="38">
        <f t="shared" ref="I63:Y63" si="22">SUM(I50:I58)</f>
        <v>-62994</v>
      </c>
      <c r="J63" s="38">
        <f t="shared" si="22"/>
        <v>1523</v>
      </c>
      <c r="K63" s="38">
        <f t="shared" si="22"/>
        <v>-60</v>
      </c>
      <c r="L63" s="38">
        <f t="shared" si="22"/>
        <v>0</v>
      </c>
      <c r="M63" s="38">
        <f t="shared" si="22"/>
        <v>0</v>
      </c>
      <c r="N63" s="38">
        <f t="shared" si="22"/>
        <v>81184</v>
      </c>
      <c r="O63" s="38">
        <f t="shared" si="22"/>
        <v>0</v>
      </c>
      <c r="P63" s="38">
        <f t="shared" si="22"/>
        <v>0</v>
      </c>
      <c r="Q63" s="38">
        <f t="shared" si="22"/>
        <v>0</v>
      </c>
      <c r="R63" s="38">
        <f t="shared" si="22"/>
        <v>0</v>
      </c>
      <c r="S63" s="38">
        <f t="shared" ref="S63:T63" si="23">SUM(S50:S58)</f>
        <v>0</v>
      </c>
      <c r="T63" s="38">
        <f t="shared" si="23"/>
        <v>0</v>
      </c>
      <c r="U63" s="38">
        <f t="shared" si="22"/>
        <v>639011</v>
      </c>
      <c r="V63" s="38">
        <f t="shared" si="22"/>
        <v>-2099649</v>
      </c>
      <c r="W63" s="38">
        <f t="shared" si="22"/>
        <v>-1440985</v>
      </c>
      <c r="X63" s="38">
        <f t="shared" si="22"/>
        <v>0</v>
      </c>
      <c r="Y63" s="38">
        <f t="shared" si="22"/>
        <v>-1440985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39" zoomScaleNormal="100" workbookViewId="0">
      <selection activeCell="I42" sqref="I42"/>
    </sheetView>
  </sheetViews>
  <sheetFormatPr defaultRowHeight="12.75" x14ac:dyDescent="0.2"/>
  <cols>
    <col min="9" max="9" width="95" customWidth="1"/>
  </cols>
  <sheetData>
    <row r="1" spans="1:9" ht="12.75" customHeight="1"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23622047244094491" right="0.23622047244094491"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2024-02-07T09:19:42Z</cp:lastPrinted>
  <dcterms:created xsi:type="dcterms:W3CDTF">2008-10-17T11:51:54Z</dcterms:created>
  <dcterms:modified xsi:type="dcterms:W3CDTF">2024-02-07T09:19:51Z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