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C:\Users\szaja\Documents\2024\REPORTS\Q4-2024\KONSOLIDACIJA\"/>
    </mc:Choice>
  </mc:AlternateContent>
  <xr:revisionPtr revIDLastSave="0" documentId="13_ncr:1_{43BA5060-7FC2-476D-8032-ED02AC5F0B58}" xr6:coauthVersionLast="47" xr6:coauthVersionMax="47" xr10:uidLastSave="{00000000-0000-0000-0000-000000000000}"/>
  <bookViews>
    <workbookView xWindow="-120" yWindow="-120" windowWidth="20730" windowHeight="1116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20" l="1"/>
  <c r="I14" i="20"/>
  <c r="I13" i="20"/>
  <c r="I23" i="20"/>
  <c r="H17" i="20"/>
  <c r="I132" i="18"/>
  <c r="I10" i="20" l="1"/>
  <c r="I8" i="20"/>
  <c r="J22" i="26"/>
  <c r="T41" i="22"/>
  <c r="K23" i="26"/>
  <c r="K22" i="26"/>
  <c r="K21" i="26"/>
  <c r="J21" i="26"/>
  <c r="J25" i="26"/>
  <c r="J23" i="26"/>
  <c r="K55" i="26" l="1"/>
  <c r="K52" i="26"/>
  <c r="K51" i="26"/>
  <c r="K47" i="26"/>
  <c r="K45" i="26"/>
  <c r="K44" i="26"/>
  <c r="K36" i="26"/>
  <c r="K28" i="26"/>
  <c r="K25" i="26"/>
  <c r="K24" i="26"/>
  <c r="K19" i="26"/>
  <c r="K17" i="26"/>
  <c r="K13" i="26"/>
  <c r="K10" i="26"/>
  <c r="U48" i="22" l="1"/>
  <c r="I47" i="26" l="1"/>
  <c r="I45" i="26"/>
  <c r="I44" i="26"/>
  <c r="I78" i="18" l="1"/>
  <c r="H78" i="18"/>
  <c r="X36" i="22" l="1"/>
  <c r="V28" i="22"/>
  <c r="U28" i="22"/>
  <c r="U21" i="22"/>
  <c r="U13" i="22"/>
  <c r="O42" i="22" l="1"/>
  <c r="V11" i="22" l="1"/>
  <c r="I38" i="18" l="1"/>
  <c r="H125" i="18" l="1"/>
  <c r="H122" i="18"/>
  <c r="H68" i="18"/>
  <c r="H42" i="18"/>
  <c r="H31" i="18"/>
  <c r="A4" i="20" l="1"/>
  <c r="A4" i="26"/>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8"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J109" i="26"/>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3" i="26"/>
  <c r="H63" i="26"/>
  <c r="K62" i="26"/>
  <c r="K66" i="26" s="1"/>
  <c r="H62" i="26"/>
  <c r="H68" i="26" s="1"/>
  <c r="H64" i="26"/>
  <c r="I51" i="21"/>
  <c r="I53" i="21" s="1"/>
  <c r="H51" i="21"/>
  <c r="H53" i="21" s="1"/>
  <c r="J67" i="26" l="1"/>
  <c r="I67" i="26"/>
  <c r="I68" i="26"/>
  <c r="J66" i="26"/>
  <c r="I95" i="18" s="1"/>
  <c r="V40" i="22" s="1"/>
  <c r="W40" i="22" s="1"/>
  <c r="J68" i="26"/>
  <c r="K67" i="26"/>
  <c r="K68" i="26"/>
  <c r="H66" i="26"/>
  <c r="H67" i="26"/>
  <c r="I85" i="18"/>
  <c r="H85" i="18"/>
  <c r="H54" i="20" l="1"/>
  <c r="H48" i="20"/>
  <c r="H41" i="20"/>
  <c r="H35" i="20"/>
  <c r="H1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6" i="22"/>
  <c r="Y55" i="22"/>
  <c r="Y53" i="22"/>
  <c r="Y52" i="22"/>
  <c r="Y51" i="22"/>
  <c r="Y50" i="22"/>
  <c r="Y49" i="22"/>
  <c r="Y48" i="22"/>
  <c r="Y47" i="22"/>
  <c r="Y46" i="22"/>
  <c r="Y45" i="22"/>
  <c r="Y44" i="22"/>
  <c r="Y43" i="22"/>
  <c r="Y42" i="22"/>
  <c r="Y41" i="22"/>
  <c r="Y40" i="22"/>
  <c r="X39" i="22"/>
  <c r="X59" i="22" s="1"/>
  <c r="R39" i="22"/>
  <c r="R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U57" i="22" s="1"/>
  <c r="U63" i="22" s="1"/>
  <c r="U10" i="22"/>
  <c r="U30" i="22" s="1"/>
  <c r="U36" i="22" s="1"/>
  <c r="U39" i="22" s="1"/>
  <c r="R10" i="22"/>
  <c r="R30" i="22" s="1"/>
  <c r="R36"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Y9" i="22"/>
  <c r="Y8" i="22"/>
  <c r="Y7" i="22"/>
  <c r="I54" i="20"/>
  <c r="I48" i="20"/>
  <c r="I35" i="20"/>
  <c r="H9" i="20"/>
  <c r="H18" i="20" s="1"/>
  <c r="H24" i="20" s="1"/>
  <c r="H27" i="20" s="1"/>
  <c r="I117" i="18"/>
  <c r="I105" i="18"/>
  <c r="I98" i="18"/>
  <c r="I94" i="18"/>
  <c r="I91" i="18"/>
  <c r="I60" i="18"/>
  <c r="I53" i="18"/>
  <c r="I45" i="18"/>
  <c r="I27" i="18"/>
  <c r="I17" i="18"/>
  <c r="I10" i="18"/>
  <c r="V39" i="22" l="1"/>
  <c r="U59" i="22"/>
  <c r="I19" i="20"/>
  <c r="I41" i="20"/>
  <c r="I42" i="20" s="1"/>
  <c r="W36" i="22"/>
  <c r="Y36" i="22" s="1"/>
  <c r="Y39" i="22" s="1"/>
  <c r="H39" i="22"/>
  <c r="H59" i="22" s="1"/>
  <c r="V57" i="22"/>
  <c r="V63" i="22" s="1"/>
  <c r="H57" i="20"/>
  <c r="H59" i="20" s="1"/>
  <c r="I58" i="20" s="1"/>
  <c r="I55" i="20"/>
  <c r="H72" i="18"/>
  <c r="I44" i="18"/>
  <c r="I75" i="18"/>
  <c r="I133" i="18" s="1"/>
  <c r="I9" i="18"/>
  <c r="I9" i="20" s="1"/>
  <c r="I18" i="20" s="1"/>
  <c r="Y61" i="22"/>
  <c r="Y62" i="22" s="1"/>
  <c r="W61" i="22"/>
  <c r="W62" i="22" s="1"/>
  <c r="Y32" i="22"/>
  <c r="Y33" i="22" s="1"/>
  <c r="W32" i="22"/>
  <c r="W33" i="22" s="1"/>
  <c r="Y34" i="22"/>
  <c r="W34" i="22"/>
  <c r="Y10" i="22"/>
  <c r="Y30" i="22" s="1"/>
  <c r="W10" i="22"/>
  <c r="W30" i="22" s="1"/>
  <c r="W57" i="22" l="1"/>
  <c r="Y57" i="22" s="1"/>
  <c r="Y63" i="22" s="1"/>
  <c r="W39" i="22"/>
  <c r="I24" i="20"/>
  <c r="I27" i="20" s="1"/>
  <c r="I57" i="20" s="1"/>
  <c r="I59" i="20" s="1"/>
  <c r="V59" i="22"/>
  <c r="I72" i="18"/>
  <c r="W59" i="22" l="1"/>
  <c r="W63" i="22"/>
  <c r="Y59" i="22"/>
</calcChain>
</file>

<file path=xl/sharedStrings.xml><?xml version="1.0" encoding="utf-8"?>
<sst xmlns="http://schemas.openxmlformats.org/spreadsheetml/2006/main" count="528" uniqueCount="464">
  <si>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</si>
  <si>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</si>
  <si>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</si>
  <si>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</si>
  <si>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</si>
  <si>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</si>
  <si>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</si>
  <si>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</si>
  <si>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</si>
  <si>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</si>
  <si>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</si>
  <si>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</si>
  <si>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</si>
  <si>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</si>
  <si>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</si>
  <si>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</si>
  <si>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</si>
  <si>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</si>
  <si>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</si>
  <si>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</si>
  <si>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</si>
  <si>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</si>
  <si>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</si>
  <si>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</si>
  <si>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</si>
  <si>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</si>
  <si>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</si>
  <si>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</si>
  <si>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</si>
  <si>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</si>
  <si>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</si>
  <si>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</si>
  <si>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</si>
  <si>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</si>
  <si>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</si>
  <si>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</si>
  <si>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</si>
  <si>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</si>
  <si>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</si>
  <si>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</si>
  <si>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</si>
  <si>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</si>
  <si>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</si>
  <si>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</si>
  <si>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</si>
  <si>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</si>
  <si>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</si>
  <si>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</si>
  <si>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</si>
  <si>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</si>
  <si>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</si>
  <si>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</si>
  <si>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</si>
  <si>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</si>
  <si>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</si>
  <si>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</si>
  <si>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</si>
  <si>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</si>
  <si>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</si>
  <si>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</si>
  <si>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</si>
  <si>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</si>
  <si>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</si>
  <si>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</si>
  <si>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</si>
  <si>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</si>
  <si>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</si>
  <si>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</si>
  <si>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</si>
  <si>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</si>
  <si>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</si>
  <si>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</si>
  <si>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</si>
  <si>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</si>
  <si>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</si>
  <si>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</si>
  <si>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</si>
  <si>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</si>
  <si>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</si>
  <si>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</si>
  <si>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</si>
  <si>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</si>
  <si>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</si>
  <si>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</si>
  <si>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</si>
  <si>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</si>
  <si>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</si>
  <si>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</si>
  <si>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</si>
  <si>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</si>
  <si>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</si>
  <si>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</si>
  <si>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</si>
  <si>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</si>
  <si>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</si>
  <si>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</si>
  <si>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</si>
  <si>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</si>
  <si>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</si>
  <si>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</si>
  <si>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</si>
  <si>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</si>
  <si>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</si>
  <si>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</si>
  <si>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</si>
  <si>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</si>
  <si>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</si>
  <si>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</si>
  <si>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</si>
  <si>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</si>
  <si>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</si>
  <si>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</si>
  <si>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</si>
  <si>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</si>
  <si>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</si>
  <si>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</si>
  <si>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</si>
  <si>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</si>
  <si>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</si>
  <si>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</si>
  <si>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</si>
  <si>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</si>
  <si>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</si>
  <si>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</si>
  <si>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</si>
  <si>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</si>
  <si>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</si>
  <si>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</si>
  <si>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</si>
  <si>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</si>
  <si>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</si>
  <si>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</si>
  <si>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</si>
  <si>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</si>
  <si>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</si>
  <si>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</si>
  <si>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</si>
  <si>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</si>
  <si>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</si>
  <si>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</si>
  <si>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</si>
  <si>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</si>
  <si>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</si>
  <si>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</si>
  <si>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</si>
  <si>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</si>
  <si>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</si>
  <si>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</si>
  <si>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</si>
  <si>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</si>
  <si>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</si>
  <si>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</si>
  <si>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</si>
  <si>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</si>
  <si>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</si>
  <si>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</si>
  <si>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</si>
  <si>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</si>
  <si>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</si>
  <si>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</si>
  <si>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</si>
  <si>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</si>
  <si>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</si>
  <si>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</si>
  <si>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</si>
  <si>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</si>
  <si>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</si>
  <si>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</si>
  <si>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</si>
  <si>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</si>
  <si>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</si>
  <si>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</si>
  <si>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</si>
  <si>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</si>
  <si>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</si>
  <si>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</si>
  <si>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</si>
  <si>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</si>
  <si>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</si>
  <si>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</si>
  <si>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</si>
  <si>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</si>
  <si>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</si>
  <si>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</si>
  <si>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</si>
  <si>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</si>
  <si>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</si>
  <si>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</si>
  <si>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</si>
  <si>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</si>
  <si>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</si>
  <si>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</si>
  <si>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</si>
  <si>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</si>
  <si>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</si>
  <si>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</si>
  <si>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</si>
  <si>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</si>
  <si>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</si>
  <si>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</si>
  <si>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</si>
  <si>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</si>
  <si>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</si>
  <si>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</si>
  <si>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</si>
  <si>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</si>
  <si>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</si>
  <si>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</si>
  <si>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</si>
  <si>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</si>
  <si>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</si>
  <si>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</si>
  <si>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</si>
  <si>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</si>
  <si>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</si>
  <si>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</si>
  <si>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</si>
  <si>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</si>
  <si>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</si>
  <si>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</si>
  <si>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</si>
  <si>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</si>
  <si>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</si>
  <si>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</si>
  <si>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</si>
  <si>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</si>
  <si>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</si>
  <si>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</si>
  <si>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</si>
  <si>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</si>
  <si>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</si>
  <si>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</si>
  <si>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</si>
  <si>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</si>
  <si>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</si>
  <si>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</si>
  <si>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</si>
  <si>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</si>
  <si>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</si>
  <si>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</si>
  <si>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</si>
  <si>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</si>
  <si>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</si>
  <si>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</si>
  <si>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</si>
  <si>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</si>
  <si>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</si>
  <si>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</si>
  <si>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</si>
  <si>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</si>
  <si>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</si>
  <si>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</si>
  <si>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</si>
  <si>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</si>
  <si>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</si>
  <si>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</si>
  <si>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</si>
  <si>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</si>
  <si>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</si>
  <si>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</si>
  <si>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</si>
  <si>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</si>
  <si>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</si>
  <si>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</si>
  <si>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</si>
  <si>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</si>
  <si>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</si>
  <si>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</si>
  <si>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</si>
  <si>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</si>
  <si>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</si>
  <si>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</si>
  <si>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</si>
  <si>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</si>
  <si>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</si>
  <si>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</si>
  <si>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</si>
  <si>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</si>
  <si>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</si>
  <si>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</si>
  <si>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</si>
  <si>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</si>
  <si>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</si>
  <si>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</si>
  <si>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</si>
  <si>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</si>
  <si>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</si>
  <si>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</si>
  <si>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</si>
  <si>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</si>
  <si>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</si>
  <si>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</si>
  <si>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</si>
  <si>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</si>
  <si>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</si>
  <si>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</si>
  <si>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</si>
  <si>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</si>
  <si>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</si>
  <si>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</si>
  <si>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</si>
  <si>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</si>
  <si>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</si>
  <si>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</si>
  <si>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</si>
  <si>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</si>
  <si>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</si>
  <si>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</si>
  <si>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</si>
  <si>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</si>
  <si>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</si>
  <si>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</si>
  <si>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</si>
  <si>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</si>
  <si>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</si>
  <si>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</si>
  <si>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</si>
  <si>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</si>
  <si>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</si>
  <si>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</si>
  <si>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</si>
  <si>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</si>
  <si>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</si>
  <si>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</si>
  <si>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</si>
  <si>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</si>
  <si>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</si>
  <si>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</si>
  <si>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</si>
  <si>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</si>
  <si>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</si>
  <si>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</si>
  <si>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</si>
  <si>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</si>
  <si>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</si>
  <si>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</si>
  <si>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</si>
  <si>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</si>
  <si>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</si>
  <si>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</si>
  <si>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</si>
  <si>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</si>
  <si>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</si>
  <si>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</si>
  <si>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</si>
  <si>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</si>
  <si>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</si>
  <si>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</si>
  <si>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</si>
  <si>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</si>
  <si>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</si>
  <si>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</si>
  <si>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</si>
  <si>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</si>
  <si>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</si>
  <si>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</si>
  <si>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</si>
  <si>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</si>
  <si>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</si>
  <si>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</si>
  <si>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</si>
  <si>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</si>
  <si>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</si>
  <si>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</si>
  <si>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</si>
  <si>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</si>
  <si>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</si>
  <si>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</si>
  <si>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</si>
  <si>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</si>
  <si>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</si>
  <si>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</si>
  <si>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</si>
  <si>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</si>
  <si>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</si>
  <si>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</si>
  <si>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</si>
  <si>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</si>
  <si>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</si>
  <si>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</si>
  <si>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</si>
  <si>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</si>
  <si>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</si>
  <si>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</si>
  <si>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</si>
  <si>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</si>
  <si>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</si>
  <si>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</si>
  <si>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</si>
  <si>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</si>
  <si>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</si>
  <si>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</si>
  <si>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</si>
  <si>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</si>
  <si>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</si>
  <si>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</si>
  <si>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</si>
  <si>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</si>
  <si>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</si>
  <si>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</si>
  <si>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</si>
  <si>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</si>
  <si>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</si>
  <si>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</si>
  <si>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</si>
  <si>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</si>
  <si>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</si>
  <si>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</si>
  <si>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</si>
  <si>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</si>
  <si>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</si>
  <si>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</si>
  <si>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</si>
  <si>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</si>
  <si>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</si>
  <si>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</si>
  <si>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</si>
  <si>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</si>
  <si>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</si>
  <si>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</si>
  <si>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</si>
  <si>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</si>
  <si>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</si>
  <si>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</si>
  <si>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</si>
  <si>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</si>
  <si>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</si>
  <si>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</si>
  <si>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</si>
  <si>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</si>
  <si>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</si>
  <si>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</si>
  <si>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</si>
  <si>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</si>
  <si>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</si>
  <si>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</si>
  <si>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</si>
  <si>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</si>
  <si>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</si>
  <si>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</si>
  <si>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</si>
  <si>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</si>
  <si>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</si>
  <si>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</si>
  <si>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</si>
  <si>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</si>
  <si>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</si>
  <si>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</si>
  <si>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</si>
  <si>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03750272</t>
  </si>
  <si>
    <t>080000959</t>
  </si>
  <si>
    <t>79766124714</t>
  </si>
  <si>
    <t>1461</t>
  </si>
  <si>
    <t>HR</t>
  </si>
  <si>
    <t>74780000W0UQ8MF2FU71</t>
  </si>
  <si>
    <t>INSTITUT IGH d.d.</t>
  </si>
  <si>
    <t>Zagreb</t>
  </si>
  <si>
    <t>Janka Rakuše 1</t>
  </si>
  <si>
    <t>igh@igh.hr</t>
  </si>
  <si>
    <t>http:/www.igh.hr</t>
  </si>
  <si>
    <t>Obveznik: INSTITUT IGH d.d.</t>
  </si>
  <si>
    <t>stanje na dan 31.12.2024.</t>
  </si>
  <si>
    <t>u razdoblju 01.01.2024 do 31.12.2024</t>
  </si>
  <si>
    <t>BILJEŠKE UZ FINANCIJSKE IZVJEŠTAJE - TFI
(koji se sastavljaju za tromjesečna razdoblja)
Naziv izdavatelja:   INSTITUT IGH, d.d.
OIB:  79766124714
Izvještajno razdoblje: 01.01.2024 – 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Konsolidirani financijski izvještaji uključuju društva sukladno točci 12. ovih bilježaka uz napomenu da je za društva DP AQUA d.o.o. i Slavonija Centar, Velika Kopaonica d.o.o. pokrenut redovni postupak likvidacije Odlukom Uprave 05.06.2024.
Povezana društva nemaju značajne poslovne aktivnosti i namjera je Uprave pripajanje ili likvidacija povezanih društava u narednih godinu dana. Financijski rezultati Grupe ne odstupaju značajno od financijskog rezultata društva INSTITITU IGH d.d.
Rješenjem trgovačkog suda u Zagrebu, Tt-24/34060-2 od 3. listopada 2024. godine briše se zabilježba pod rednim brojem 4 - odobrenje predstečajne nagodbe subjekta upisa INSTITUT IGH, dioničko drštvo za istraživanje i razvoj u graditeljstvu, Zagreb, Janka Rakuše 1, MBS 080000959, OIB 79766124714 upisane rješenjem Trgovačkog suda u Zagrebu pod brojem Stpn-305/2013. od 05.12.2013. godine temeljem Izvještaja neovisnog revizora od 05. srpnja 2024. godine.
Obveze temeljem pred-stečajne nagodbe na dan 31.12.2023. iznosile su 39 tis eur, a koje su u cijelosti namirene dana 15.02.2024. Revizija podmirenja obveza po pred-stečajnoj nagodbi odrađena je tijekom lipnja 2024.
b) informacije gdje je omogućen pristup posljednjim godišnjim financijskim izvještajima, radi razumijevanja informacija objavljenih u bilješkama uz financijske izvještaje sastavljene za izvještajno tromjesečno razdoblje, 
Konsolidirani i nekonsolidirani financijski izvještaji za period  01.01.2024. – 31.12.2024. dostupni su web adresi Društva https://www.igh.hr/.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Financijski izvještaji pripremljeni su u skladu s Međunarodnim standardima financijskog izvještavanja usvojenim od strane Europske unije (MSFI) koji su na snazi u Europskoj uniji.
d) objašnjenje poslovnih rezultata u slučaju da izdavatelj obavlja djelatnost sezonske prirode (točke 37. i 38. MRS 34- Financijsko izvještavanje za razdoblja tijekom godine) 
Ne obavlja se djelatnost sezonske prirode s time da je značajno istaknuti povećanu poslovnu aktivnost kroz proljetne i jesenske mjesece.
e) ostale objave koje propisuje MRS 34- Financijsko izvještavanje za razdoblja tijekom godine te
Imovina s pravom korištenja iskazana je unutar dugotrajne materijalne imovine prema vrsti imovine, dok se obveze po osnovi najma iskazuju unutar pozicija dugoročnih i kratkoročnih obveza koje ukupno iznose 3,8 mln eur i odnose se samo na društvo INSTITUT IGH d.d. Imovina s pravom korištenja provodi se sukladno MRSF-16.
Troškovi zaposlenika u tekućem periodu su iznosili 10,8 mln eur, dok su u istom periodu protekle godine iznosili 10,9 mln eur.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INSTITUT IGH Zagreb, Janka Rakuše 1, dioničko društvo, Hrvatska, MBS: 03750272, OIB:79766124714
2. usvojene računovodstvene politike (samo naznaku je li došlo do promjene u odnosu na prethodno razdoblje)
Nije bilo promjena računovodstvenih politika u odnosu na prethodno izvještajno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Grupa ima obveze po izdanim bankovnim garancijama za dobro izvršenje posla u iznosu od 3,4 mln eur, a sve obveze se odnose na društvo INSTITUT IGH d.d.
4. iznos i prirodu pojedinih stavki prihoda ili rashoda izuzetne veličine ili pojave
Značajnije stavke prihoda prikazane su kao ostali prihodi, a odnose se prvenstveno na prihode temeljem prodaja nekretnina u Dubrovniku i Karlovcu, prihode od najma, te ukidanja rezervacija. 
5. iznose koje poduzetnik duguje i koji dospijevaju nakon više od pet godina, kao i ukupna dugovanja poduzetnika pokrivena vrijednim osiguranjem koje je dao poduzetnik, uz naznaku vrste i oblika osiguranja
Nema obveza koje dospijevaju nakon više od pet godina.
6. prosječan broj zaposlenih tijekom tekućeg razdoblja: 350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U poslovnoj godini nije bilo kapitalizacije troška plaća. Troškovi zaposlenih raščlanjeni su na ukupni iznos neto plaća, te iznos poreza i doprinosa iz plaća i na plaće, a što je iskazano u računu dobiti i gubitka kao direktno terećenje troškova razdoblja.
8. ako su u bilanci priznata rezerviranja za odgođeni porez, stanja odgođenog poreza na kraju poslovne godine i kretanja tih stanja tijekom poslovne godine
U bilanci je priznata odgođena porezna obveza temeljem ukidanja revalorizacijskih rezervi.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PRIDRUŽENO DRUŠTVO	ADRESA
ELPIDA d.o.o., Ventilatorska 24, Lučko, Hrvatska	
INSTITUT ZA INFRASTRUKTURNE PROJEKTE, Sofija, Bugarska	
PRVI CRNOGORSKI AUTOPUT d.o.o., Podgorica,	Crna Gora	
IGH KOSOVA SHA, Bill Clinton Bulvari, Kosovo	
IGH ITALY SRL, Palmanova, Italia	
10. broj i nominalnu vrijednost, ili ako ne postoji nominalna vrijednost, knjigovodstvenu vrijednost dionica ili udjela upisanih tijekom poslovne godine u okviru odobrenog kapitala
Tijekom poslovne godine 2023. upisano je dodatnih 867.754 dionica nominalna vrijednost: 10,00 EUR što čini ukupnu knjigovodstvenu vrijednost od 8.677.540 eur.
Tijekom 2024. godine nije bilo upisa novih dionica.
11. postojanje bilo kakvih potvrda o sudjelovanju, konvertibilnih zadužnica, jamstava, opcija ili sličnih vrijednosnica ili prava, s naznakom njihovog broja i prava koja daju
Nema
12. naziv, sjedište te pravni oblik svakog poduzetnika u kojemu poduzetnik ima neograničenu odgovornost
POVEZANA DRUŠTVA:
IGH PROJEKTIRANJE d.o.o., Zagreb, REPUBLIKA HRVATSKA - 100,00%
INCRO d.o.o., Zagreb, REPUBLIKA HRVATSKA - 100,00%
IGH BUSINESS ADVISORY SERVICES d.o.o., Zagreb, REPUBLIKA HRVATSKA - 100,00%
ETZ d.d., Zagreb, REPUBLIKA HRVATSKA	 - 86,00%
INSTITUT IGH d.o.o. Mostar, BOSNA I HERCEGOVINA - 100,00%
Društva DP AQUA d.o.o. i SLAVONIJA CENTAR d.o.o. 05.06.2024. stavljeni su u redovni postupak likvidacije obzirom su bili neaktivni. Društvo IGH Mostar d.o.o. promijenilo je naziv u Institut IGH d.o.o. Mostar. Društvo Marterra d.o.o. je u siječnju 2025. godine stavljeno u stečaj, te nije obuhvaćeno konsolidacijom obzirom da Institut IGH d.d. nema kontrolu upravljanja.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Nema
15. mjesto na kojem je moguće dobiti primjerke tromjesečnih konsolidiranih financijskih izvještaja iz točaka 13. i 14., pod uvjetom da su dostupni
Nema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17. prirodu i financijski učinak značajnih događaja koji su nastupili nakon datuma bilance i nisu odraženi u računu dobiti i gubitka ili bilanci
Rješenjem trgovačkog suda u Zagrebu, Tt-24/34060-2 od 3. listopada 2024. godine briše se zabilježba pod rednim brojem 4 - odobrenje predstečajne nagodbe subjekta upisa INSTITUT IGH, dioničko drštvo za istraživanje i razvoj u graditeljstvu, Zagreb, Janka Rakuše 1, MBS 080000959, OIB 79766124714 upisane rješenjem Trgovačkog suda u Zagrebu pod brojem Stpn-305/2013. od 05.12.2013. godine temeljem Izvještaja neovisnog revizora od 05. srpnja 2024. godine. 
Stečaj društva Marterra d.o.o. Zagreb bilježi se u događaje koji su nastupili nakon datuma bilance.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</si>
</sst>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6" fillId="0" borderId="0" xfId="3" applyFont="1" applyAlignment="1" applyProtection="1">
      <alignment horizontal="center" vertical="top" wrapText="1"/>
      <protection locked="0"/>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C30" sqref="C3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45292</v>
      </c>
      <c r="F4" s="139"/>
      <c r="G4" s="97" t="s">
        <v>0</v>
      </c>
      <c r="H4" s="138">
        <v>45657</v>
      </c>
      <c r="I4" s="139"/>
      <c r="J4" s="98"/>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9"/>
      <c r="B6" s="100" t="s">
        <v>330</v>
      </c>
      <c r="C6" s="101"/>
      <c r="D6" s="101"/>
      <c r="E6" s="39">
        <v>2024</v>
      </c>
      <c r="F6" s="102"/>
      <c r="G6" s="97"/>
      <c r="H6" s="102"/>
      <c r="I6" s="103"/>
      <c r="J6" s="104"/>
    </row>
    <row r="7" spans="1:20" s="77" customFormat="1" ht="10.9" customHeight="1" x14ac:dyDescent="0.25">
      <c r="A7" s="99"/>
      <c r="B7" s="101"/>
      <c r="C7" s="101"/>
      <c r="D7" s="101"/>
      <c r="E7" s="105"/>
      <c r="F7" s="105"/>
      <c r="G7" s="97"/>
      <c r="H7" s="102"/>
      <c r="I7" s="103"/>
      <c r="J7" s="104"/>
      <c r="K7" s="75"/>
      <c r="L7" s="75"/>
      <c r="M7" s="75"/>
      <c r="N7" s="76"/>
      <c r="O7" s="75"/>
      <c r="P7" s="75"/>
      <c r="Q7" s="75"/>
      <c r="R7" s="75"/>
      <c r="S7" s="75"/>
      <c r="T7" s="75"/>
    </row>
    <row r="8" spans="1:20" ht="20.45" customHeight="1" x14ac:dyDescent="0.25">
      <c r="A8" s="99"/>
      <c r="B8" s="100" t="s">
        <v>331</v>
      </c>
      <c r="C8" s="101"/>
      <c r="D8" s="101"/>
      <c r="E8" s="39">
        <v>4</v>
      </c>
      <c r="F8" s="102"/>
      <c r="G8" s="97"/>
      <c r="H8" s="102"/>
      <c r="I8" s="103"/>
      <c r="J8" s="104"/>
    </row>
    <row r="9" spans="1:20" s="77" customFormat="1" ht="10.9" customHeight="1" x14ac:dyDescent="0.25">
      <c r="A9" s="99"/>
      <c r="B9" s="101"/>
      <c r="C9" s="101"/>
      <c r="D9" s="101"/>
      <c r="E9" s="105"/>
      <c r="F9" s="105"/>
      <c r="G9" s="97"/>
      <c r="H9" s="105"/>
      <c r="I9" s="106"/>
      <c r="J9" s="104"/>
      <c r="K9" s="75"/>
      <c r="L9" s="75"/>
      <c r="M9" s="75"/>
      <c r="N9" s="76"/>
      <c r="O9" s="75"/>
      <c r="P9" s="75"/>
      <c r="Q9" s="75"/>
      <c r="R9" s="75"/>
      <c r="S9" s="75"/>
      <c r="T9" s="75"/>
    </row>
    <row r="10" spans="1:20" ht="37.9" customHeight="1" x14ac:dyDescent="0.25">
      <c r="A10" s="150" t="s">
        <v>332</v>
      </c>
      <c r="B10" s="151"/>
      <c r="C10" s="151"/>
      <c r="D10" s="151"/>
      <c r="E10" s="151"/>
      <c r="F10" s="151"/>
      <c r="G10" s="151"/>
      <c r="H10" s="151"/>
      <c r="I10" s="151"/>
      <c r="J10" s="107"/>
    </row>
    <row r="11" spans="1:20" ht="24.6" customHeight="1" x14ac:dyDescent="0.25">
      <c r="A11" s="152" t="s">
        <v>309</v>
      </c>
      <c r="B11" s="153"/>
      <c r="C11" s="145" t="s">
        <v>449</v>
      </c>
      <c r="D11" s="146"/>
      <c r="E11" s="108"/>
      <c r="F11" s="154" t="s">
        <v>333</v>
      </c>
      <c r="G11" s="144"/>
      <c r="H11" s="155" t="s">
        <v>453</v>
      </c>
      <c r="I11" s="156"/>
      <c r="J11" s="109"/>
    </row>
    <row r="12" spans="1:20" ht="14.45" customHeight="1" x14ac:dyDescent="0.25">
      <c r="A12" s="110"/>
      <c r="B12" s="111"/>
      <c r="C12" s="111"/>
      <c r="D12" s="111"/>
      <c r="E12" s="148"/>
      <c r="F12" s="148"/>
      <c r="G12" s="148"/>
      <c r="H12" s="148"/>
      <c r="I12" s="112"/>
      <c r="J12" s="109"/>
    </row>
    <row r="13" spans="1:20" ht="21" customHeight="1" x14ac:dyDescent="0.25">
      <c r="A13" s="143" t="s">
        <v>324</v>
      </c>
      <c r="B13" s="144"/>
      <c r="C13" s="145" t="s">
        <v>450</v>
      </c>
      <c r="D13" s="146"/>
      <c r="E13" s="147"/>
      <c r="F13" s="148"/>
      <c r="G13" s="148"/>
      <c r="H13" s="148"/>
      <c r="I13" s="112"/>
      <c r="J13" s="109"/>
    </row>
    <row r="14" spans="1:20" ht="10.9" customHeight="1" x14ac:dyDescent="0.25">
      <c r="A14" s="108"/>
      <c r="B14" s="112"/>
      <c r="C14" s="88"/>
      <c r="D14" s="88"/>
      <c r="E14" s="149"/>
      <c r="F14" s="149"/>
      <c r="G14" s="149"/>
      <c r="H14" s="149"/>
      <c r="I14" s="111"/>
      <c r="J14" s="113"/>
    </row>
    <row r="15" spans="1:20" ht="22.9" customHeight="1" x14ac:dyDescent="0.25">
      <c r="A15" s="143" t="s">
        <v>310</v>
      </c>
      <c r="B15" s="144"/>
      <c r="C15" s="145" t="s">
        <v>451</v>
      </c>
      <c r="D15" s="146"/>
      <c r="E15" s="163"/>
      <c r="F15" s="164"/>
      <c r="G15" s="114" t="s">
        <v>334</v>
      </c>
      <c r="H15" s="155" t="s">
        <v>454</v>
      </c>
      <c r="I15" s="156"/>
      <c r="J15" s="115"/>
    </row>
    <row r="16" spans="1:20" ht="10.9" customHeight="1" x14ac:dyDescent="0.25">
      <c r="A16" s="108"/>
      <c r="B16" s="112"/>
      <c r="C16" s="111"/>
      <c r="D16" s="111"/>
      <c r="E16" s="149"/>
      <c r="F16" s="149"/>
      <c r="G16" s="165"/>
      <c r="H16" s="165"/>
      <c r="I16" s="111"/>
      <c r="J16" s="113"/>
    </row>
    <row r="17" spans="1:10" ht="22.9" customHeight="1" x14ac:dyDescent="0.25">
      <c r="A17" s="116"/>
      <c r="B17" s="114" t="s">
        <v>335</v>
      </c>
      <c r="C17" s="145" t="s">
        <v>452</v>
      </c>
      <c r="D17" s="146"/>
      <c r="E17" s="117"/>
      <c r="F17" s="117"/>
      <c r="G17" s="117"/>
      <c r="H17" s="117"/>
      <c r="I17" s="117"/>
      <c r="J17" s="115"/>
    </row>
    <row r="18" spans="1:10" x14ac:dyDescent="0.25">
      <c r="A18" s="157"/>
      <c r="B18" s="158"/>
      <c r="C18" s="149"/>
      <c r="D18" s="149"/>
      <c r="E18" s="149"/>
      <c r="F18" s="149"/>
      <c r="G18" s="149"/>
      <c r="H18" s="149"/>
      <c r="I18" s="111"/>
      <c r="J18" s="113"/>
    </row>
    <row r="19" spans="1:10" x14ac:dyDescent="0.25">
      <c r="A19" s="152" t="s">
        <v>311</v>
      </c>
      <c r="B19" s="159"/>
      <c r="C19" s="160" t="s">
        <v>455</v>
      </c>
      <c r="D19" s="161"/>
      <c r="E19" s="161"/>
      <c r="F19" s="161"/>
      <c r="G19" s="161"/>
      <c r="H19" s="161"/>
      <c r="I19" s="161"/>
      <c r="J19" s="162"/>
    </row>
    <row r="20" spans="1:10" x14ac:dyDescent="0.25">
      <c r="A20" s="110"/>
      <c r="B20" s="111"/>
      <c r="C20" s="118"/>
      <c r="D20" s="111"/>
      <c r="E20" s="149"/>
      <c r="F20" s="149"/>
      <c r="G20" s="149"/>
      <c r="H20" s="149"/>
      <c r="I20" s="111"/>
      <c r="J20" s="113"/>
    </row>
    <row r="21" spans="1:10" x14ac:dyDescent="0.25">
      <c r="A21" s="152" t="s">
        <v>312</v>
      </c>
      <c r="B21" s="159"/>
      <c r="C21" s="155">
        <v>10000</v>
      </c>
      <c r="D21" s="156"/>
      <c r="E21" s="149"/>
      <c r="F21" s="149"/>
      <c r="G21" s="160" t="s">
        <v>456</v>
      </c>
      <c r="H21" s="161"/>
      <c r="I21" s="161"/>
      <c r="J21" s="162"/>
    </row>
    <row r="22" spans="1:10" x14ac:dyDescent="0.25">
      <c r="A22" s="110"/>
      <c r="B22" s="111"/>
      <c r="C22" s="111"/>
      <c r="D22" s="111"/>
      <c r="E22" s="149"/>
      <c r="F22" s="149"/>
      <c r="G22" s="149"/>
      <c r="H22" s="149"/>
      <c r="I22" s="111"/>
      <c r="J22" s="113"/>
    </row>
    <row r="23" spans="1:10" x14ac:dyDescent="0.25">
      <c r="A23" s="152" t="s">
        <v>313</v>
      </c>
      <c r="B23" s="159"/>
      <c r="C23" s="160" t="s">
        <v>457</v>
      </c>
      <c r="D23" s="161"/>
      <c r="E23" s="161"/>
      <c r="F23" s="161"/>
      <c r="G23" s="161"/>
      <c r="H23" s="161"/>
      <c r="I23" s="161"/>
      <c r="J23" s="162"/>
    </row>
    <row r="24" spans="1:10" x14ac:dyDescent="0.25">
      <c r="A24" s="110"/>
      <c r="B24" s="111"/>
      <c r="C24" s="88"/>
      <c r="D24" s="111"/>
      <c r="E24" s="149"/>
      <c r="F24" s="149"/>
      <c r="G24" s="149"/>
      <c r="H24" s="149"/>
      <c r="I24" s="111"/>
      <c r="J24" s="113"/>
    </row>
    <row r="25" spans="1:10" x14ac:dyDescent="0.25">
      <c r="A25" s="152" t="s">
        <v>314</v>
      </c>
      <c r="B25" s="159"/>
      <c r="C25" s="167" t="s">
        <v>458</v>
      </c>
      <c r="D25" s="168"/>
      <c r="E25" s="168"/>
      <c r="F25" s="168"/>
      <c r="G25" s="168"/>
      <c r="H25" s="168"/>
      <c r="I25" s="168"/>
      <c r="J25" s="169"/>
    </row>
    <row r="26" spans="1:10" x14ac:dyDescent="0.25">
      <c r="A26" s="110"/>
      <c r="B26" s="111"/>
      <c r="C26" s="118"/>
      <c r="D26" s="111"/>
      <c r="E26" s="149"/>
      <c r="F26" s="149"/>
      <c r="G26" s="149"/>
      <c r="H26" s="149"/>
      <c r="I26" s="111"/>
      <c r="J26" s="113"/>
    </row>
    <row r="27" spans="1:10" x14ac:dyDescent="0.25">
      <c r="A27" s="152" t="s">
        <v>315</v>
      </c>
      <c r="B27" s="159"/>
      <c r="C27" s="167" t="s">
        <v>459</v>
      </c>
      <c r="D27" s="168"/>
      <c r="E27" s="168"/>
      <c r="F27" s="168"/>
      <c r="G27" s="168"/>
      <c r="H27" s="168"/>
      <c r="I27" s="168"/>
      <c r="J27" s="169"/>
    </row>
    <row r="28" spans="1:10" ht="13.9" customHeight="1" x14ac:dyDescent="0.25">
      <c r="A28" s="110"/>
      <c r="B28" s="111"/>
      <c r="C28" s="118"/>
      <c r="D28" s="111"/>
      <c r="E28" s="149"/>
      <c r="F28" s="149"/>
      <c r="G28" s="149"/>
      <c r="H28" s="149"/>
      <c r="I28" s="111"/>
      <c r="J28" s="113"/>
    </row>
    <row r="29" spans="1:10" ht="22.9" customHeight="1" x14ac:dyDescent="0.25">
      <c r="A29" s="143" t="s">
        <v>325</v>
      </c>
      <c r="B29" s="159"/>
      <c r="C29" s="40">
        <v>350</v>
      </c>
      <c r="D29" s="119"/>
      <c r="E29" s="166"/>
      <c r="F29" s="166"/>
      <c r="G29" s="166"/>
      <c r="H29" s="166"/>
      <c r="I29" s="120"/>
      <c r="J29" s="121"/>
    </row>
    <row r="30" spans="1:10" x14ac:dyDescent="0.25">
      <c r="A30" s="110"/>
      <c r="B30" s="111"/>
      <c r="C30" s="111"/>
      <c r="D30" s="111"/>
      <c r="E30" s="149"/>
      <c r="F30" s="149"/>
      <c r="G30" s="149"/>
      <c r="H30" s="149"/>
      <c r="I30" s="120"/>
      <c r="J30" s="121"/>
    </row>
    <row r="31" spans="1:10" x14ac:dyDescent="0.25">
      <c r="A31" s="152" t="s">
        <v>316</v>
      </c>
      <c r="B31" s="159"/>
      <c r="C31" s="41" t="s">
        <v>338</v>
      </c>
      <c r="D31" s="170" t="s">
        <v>336</v>
      </c>
      <c r="E31" s="171"/>
      <c r="F31" s="171"/>
      <c r="G31" s="171"/>
      <c r="H31" s="111"/>
      <c r="I31" s="122" t="s">
        <v>337</v>
      </c>
      <c r="J31" s="123" t="s">
        <v>338</v>
      </c>
    </row>
    <row r="32" spans="1:10" x14ac:dyDescent="0.25">
      <c r="A32" s="152"/>
      <c r="B32" s="159"/>
      <c r="C32" s="124"/>
      <c r="D32" s="97"/>
      <c r="E32" s="164"/>
      <c r="F32" s="164"/>
      <c r="G32" s="164"/>
      <c r="H32" s="164"/>
      <c r="I32" s="120"/>
      <c r="J32" s="121"/>
    </row>
    <row r="33" spans="1:10" x14ac:dyDescent="0.25">
      <c r="A33" s="152" t="s">
        <v>326</v>
      </c>
      <c r="B33" s="159"/>
      <c r="C33" s="40" t="s">
        <v>340</v>
      </c>
      <c r="D33" s="170" t="s">
        <v>339</v>
      </c>
      <c r="E33" s="171"/>
      <c r="F33" s="171"/>
      <c r="G33" s="171"/>
      <c r="H33" s="117"/>
      <c r="I33" s="122" t="s">
        <v>340</v>
      </c>
      <c r="J33" s="123" t="s">
        <v>341</v>
      </c>
    </row>
    <row r="34" spans="1:10" x14ac:dyDescent="0.25">
      <c r="A34" s="110"/>
      <c r="B34" s="111"/>
      <c r="C34" s="111"/>
      <c r="D34" s="111"/>
      <c r="E34" s="149"/>
      <c r="F34" s="149"/>
      <c r="G34" s="149"/>
      <c r="H34" s="149"/>
      <c r="I34" s="111"/>
      <c r="J34" s="113"/>
    </row>
    <row r="35" spans="1:10" x14ac:dyDescent="0.25">
      <c r="A35" s="170" t="s">
        <v>327</v>
      </c>
      <c r="B35" s="171"/>
      <c r="C35" s="171"/>
      <c r="D35" s="171"/>
      <c r="E35" s="171" t="s">
        <v>317</v>
      </c>
      <c r="F35" s="171"/>
      <c r="G35" s="171"/>
      <c r="H35" s="171"/>
      <c r="I35" s="171"/>
      <c r="J35" s="125" t="s">
        <v>318</v>
      </c>
    </row>
    <row r="36" spans="1:10" x14ac:dyDescent="0.25">
      <c r="A36" s="110"/>
      <c r="B36" s="111"/>
      <c r="C36" s="111"/>
      <c r="D36" s="111"/>
      <c r="E36" s="149"/>
      <c r="F36" s="149"/>
      <c r="G36" s="149"/>
      <c r="H36" s="149"/>
      <c r="I36" s="111"/>
      <c r="J36" s="121"/>
    </row>
    <row r="37" spans="1:10" x14ac:dyDescent="0.25">
      <c r="A37" s="172"/>
      <c r="B37" s="173"/>
      <c r="C37" s="173"/>
      <c r="D37" s="173"/>
      <c r="E37" s="172"/>
      <c r="F37" s="173"/>
      <c r="G37" s="173"/>
      <c r="H37" s="173"/>
      <c r="I37" s="174"/>
      <c r="J37" s="89"/>
    </row>
    <row r="38" spans="1:10" x14ac:dyDescent="0.25">
      <c r="A38" s="78"/>
      <c r="B38" s="88"/>
      <c r="C38" s="91"/>
      <c r="D38" s="175"/>
      <c r="E38" s="175"/>
      <c r="F38" s="175"/>
      <c r="G38" s="175"/>
      <c r="H38" s="175"/>
      <c r="I38" s="175"/>
      <c r="J38" s="79"/>
    </row>
    <row r="39" spans="1:10" x14ac:dyDescent="0.25">
      <c r="A39" s="172"/>
      <c r="B39" s="173"/>
      <c r="C39" s="173"/>
      <c r="D39" s="174"/>
      <c r="E39" s="172"/>
      <c r="F39" s="173"/>
      <c r="G39" s="173"/>
      <c r="H39" s="173"/>
      <c r="I39" s="174"/>
      <c r="J39" s="40"/>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1"/>
      <c r="E48" s="149"/>
      <c r="F48" s="149"/>
      <c r="G48" s="176"/>
      <c r="H48" s="176"/>
      <c r="I48" s="111"/>
      <c r="J48" s="127" t="s">
        <v>342</v>
      </c>
    </row>
    <row r="49" spans="1:10" x14ac:dyDescent="0.25">
      <c r="A49" s="126"/>
      <c r="B49" s="118"/>
      <c r="C49" s="118"/>
      <c r="D49" s="111"/>
      <c r="E49" s="149"/>
      <c r="F49" s="149"/>
      <c r="G49" s="176"/>
      <c r="H49" s="176"/>
      <c r="I49" s="111"/>
      <c r="J49" s="127" t="s">
        <v>343</v>
      </c>
    </row>
    <row r="50" spans="1:10" ht="14.45" customHeight="1" x14ac:dyDescent="0.25">
      <c r="A50" s="143" t="s">
        <v>319</v>
      </c>
      <c r="B50" s="154"/>
      <c r="C50" s="155"/>
      <c r="D50" s="156"/>
      <c r="E50" s="182" t="s">
        <v>344</v>
      </c>
      <c r="F50" s="183"/>
      <c r="G50" s="160"/>
      <c r="H50" s="161"/>
      <c r="I50" s="161"/>
      <c r="J50" s="162"/>
    </row>
    <row r="51" spans="1:10" x14ac:dyDescent="0.25">
      <c r="A51" s="126"/>
      <c r="B51" s="118"/>
      <c r="C51" s="176"/>
      <c r="D51" s="176"/>
      <c r="E51" s="149"/>
      <c r="F51" s="149"/>
      <c r="G51" s="184" t="s">
        <v>345</v>
      </c>
      <c r="H51" s="184"/>
      <c r="I51" s="184"/>
      <c r="J51" s="104"/>
    </row>
    <row r="52" spans="1:10" ht="13.9" customHeight="1" x14ac:dyDescent="0.25">
      <c r="A52" s="143" t="s">
        <v>320</v>
      </c>
      <c r="B52" s="154"/>
      <c r="C52" s="160"/>
      <c r="D52" s="161"/>
      <c r="E52" s="161"/>
      <c r="F52" s="161"/>
      <c r="G52" s="161"/>
      <c r="H52" s="161"/>
      <c r="I52" s="161"/>
      <c r="J52" s="162"/>
    </row>
    <row r="53" spans="1:10" x14ac:dyDescent="0.25">
      <c r="A53" s="110"/>
      <c r="B53" s="111"/>
      <c r="C53" s="166" t="s">
        <v>321</v>
      </c>
      <c r="D53" s="166"/>
      <c r="E53" s="166"/>
      <c r="F53" s="166"/>
      <c r="G53" s="166"/>
      <c r="H53" s="166"/>
      <c r="I53" s="166"/>
      <c r="J53" s="113"/>
    </row>
    <row r="54" spans="1:10" x14ac:dyDescent="0.25">
      <c r="A54" s="143" t="s">
        <v>322</v>
      </c>
      <c r="B54" s="154"/>
      <c r="C54" s="178"/>
      <c r="D54" s="179"/>
      <c r="E54" s="180"/>
      <c r="F54" s="149"/>
      <c r="G54" s="149"/>
      <c r="H54" s="171"/>
      <c r="I54" s="171"/>
      <c r="J54" s="181"/>
    </row>
    <row r="55" spans="1:10" x14ac:dyDescent="0.25">
      <c r="A55" s="110"/>
      <c r="B55" s="111"/>
      <c r="C55" s="118"/>
      <c r="D55" s="111"/>
      <c r="E55" s="149"/>
      <c r="F55" s="149"/>
      <c r="G55" s="149"/>
      <c r="H55" s="149"/>
      <c r="I55" s="111"/>
      <c r="J55" s="113"/>
    </row>
    <row r="56" spans="1:10" ht="14.45" customHeight="1" x14ac:dyDescent="0.25">
      <c r="A56" s="143" t="s">
        <v>314</v>
      </c>
      <c r="B56" s="154"/>
      <c r="C56" s="185"/>
      <c r="D56" s="186"/>
      <c r="E56" s="186"/>
      <c r="F56" s="186"/>
      <c r="G56" s="186"/>
      <c r="H56" s="186"/>
      <c r="I56" s="186"/>
      <c r="J56" s="187"/>
    </row>
    <row r="57" spans="1:10" x14ac:dyDescent="0.25">
      <c r="A57" s="110"/>
      <c r="B57" s="111"/>
      <c r="C57" s="111"/>
      <c r="D57" s="111"/>
      <c r="E57" s="149"/>
      <c r="F57" s="149"/>
      <c r="G57" s="149"/>
      <c r="H57" s="149"/>
      <c r="I57" s="111"/>
      <c r="J57" s="113"/>
    </row>
    <row r="58" spans="1:10" x14ac:dyDescent="0.25">
      <c r="A58" s="143" t="s">
        <v>346</v>
      </c>
      <c r="B58" s="154"/>
      <c r="C58" s="185"/>
      <c r="D58" s="186"/>
      <c r="E58" s="186"/>
      <c r="F58" s="186"/>
      <c r="G58" s="186"/>
      <c r="H58" s="186"/>
      <c r="I58" s="186"/>
      <c r="J58" s="187"/>
    </row>
    <row r="59" spans="1:10" ht="14.45" customHeight="1" x14ac:dyDescent="0.25">
      <c r="A59" s="110"/>
      <c r="B59" s="111"/>
      <c r="C59" s="188" t="s">
        <v>347</v>
      </c>
      <c r="D59" s="188"/>
      <c r="E59" s="188"/>
      <c r="F59" s="188"/>
      <c r="G59" s="111"/>
      <c r="H59" s="111"/>
      <c r="I59" s="111"/>
      <c r="J59" s="113"/>
    </row>
    <row r="60" spans="1:10" x14ac:dyDescent="0.25">
      <c r="A60" s="143" t="s">
        <v>348</v>
      </c>
      <c r="B60" s="154"/>
      <c r="C60" s="185"/>
      <c r="D60" s="186"/>
      <c r="E60" s="186"/>
      <c r="F60" s="186"/>
      <c r="G60" s="186"/>
      <c r="H60" s="186"/>
      <c r="I60" s="186"/>
      <c r="J60" s="187"/>
    </row>
    <row r="61" spans="1:10" ht="14.45" customHeight="1" x14ac:dyDescent="0.25">
      <c r="A61" s="128"/>
      <c r="B61" s="129"/>
      <c r="C61" s="189" t="s">
        <v>349</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C66" zoomScale="110" zoomScaleNormal="100" zoomScaleSheetLayoutView="110" workbookViewId="0">
      <selection activeCell="H95" sqref="H95"/>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461</v>
      </c>
      <c r="B2" s="196"/>
      <c r="C2" s="196"/>
      <c r="D2" s="196"/>
      <c r="E2" s="196"/>
      <c r="F2" s="196"/>
      <c r="G2" s="196"/>
      <c r="H2" s="196"/>
      <c r="I2" s="196"/>
    </row>
    <row r="3" spans="1:9" x14ac:dyDescent="0.2">
      <c r="A3" s="197" t="s">
        <v>448</v>
      </c>
      <c r="B3" s="197"/>
      <c r="C3" s="197"/>
      <c r="D3" s="197"/>
      <c r="E3" s="197"/>
      <c r="F3" s="197"/>
      <c r="G3" s="197"/>
      <c r="H3" s="197"/>
      <c r="I3" s="197"/>
    </row>
    <row r="4" spans="1:9" x14ac:dyDescent="0.2">
      <c r="A4" s="198" t="s">
        <v>460</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10236217.699999999</v>
      </c>
      <c r="I9" s="82">
        <f>I10+I17+I27+I38+I43</f>
        <v>10704362.300000016</v>
      </c>
    </row>
    <row r="10" spans="1:9" ht="12.75" customHeight="1" x14ac:dyDescent="0.2">
      <c r="A10" s="191" t="s">
        <v>5</v>
      </c>
      <c r="B10" s="191"/>
      <c r="C10" s="191"/>
      <c r="D10" s="191"/>
      <c r="E10" s="191"/>
      <c r="F10" s="191"/>
      <c r="G10" s="12">
        <v>3</v>
      </c>
      <c r="H10" s="82">
        <f>H11+H12+H13+H14+H15+H16</f>
        <v>20291.07</v>
      </c>
      <c r="I10" s="82">
        <f>I11+I12+I13+I14+I15+I16</f>
        <v>32736</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11512.24</v>
      </c>
      <c r="I12" s="18">
        <v>26065</v>
      </c>
    </row>
    <row r="13" spans="1:9" ht="12.75" customHeight="1" x14ac:dyDescent="0.2">
      <c r="A13" s="190" t="s">
        <v>8</v>
      </c>
      <c r="B13" s="190"/>
      <c r="C13" s="190"/>
      <c r="D13" s="190"/>
      <c r="E13" s="190"/>
      <c r="F13" s="190"/>
      <c r="G13" s="11">
        <v>6</v>
      </c>
      <c r="H13" s="18">
        <v>4280.3100000000004</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4498.5200000000004</v>
      </c>
      <c r="I15" s="18">
        <v>6671</v>
      </c>
    </row>
    <row r="16" spans="1:9" ht="12.75" customHeight="1" x14ac:dyDescent="0.2">
      <c r="A16" s="190" t="s">
        <v>11</v>
      </c>
      <c r="B16" s="190"/>
      <c r="C16" s="190"/>
      <c r="D16" s="190"/>
      <c r="E16" s="190"/>
      <c r="F16" s="190"/>
      <c r="G16" s="11">
        <v>9</v>
      </c>
      <c r="H16" s="18">
        <v>0</v>
      </c>
      <c r="I16" s="18">
        <v>0</v>
      </c>
    </row>
    <row r="17" spans="1:9" ht="12.75" customHeight="1" x14ac:dyDescent="0.2">
      <c r="A17" s="191" t="s">
        <v>12</v>
      </c>
      <c r="B17" s="191"/>
      <c r="C17" s="191"/>
      <c r="D17" s="191"/>
      <c r="E17" s="191"/>
      <c r="F17" s="191"/>
      <c r="G17" s="12">
        <v>10</v>
      </c>
      <c r="H17" s="82">
        <f>H18+H19+H20+H21+H22+H23+H24+H25+H26</f>
        <v>8049922.6699999999</v>
      </c>
      <c r="I17" s="82">
        <f>I18+I19+I20+I21+I22+I23+I24+I25+I26</f>
        <v>8444593.3000000156</v>
      </c>
    </row>
    <row r="18" spans="1:9" ht="12.75" customHeight="1" x14ac:dyDescent="0.2">
      <c r="A18" s="190" t="s">
        <v>13</v>
      </c>
      <c r="B18" s="190"/>
      <c r="C18" s="190"/>
      <c r="D18" s="190"/>
      <c r="E18" s="190"/>
      <c r="F18" s="190"/>
      <c r="G18" s="11">
        <v>11</v>
      </c>
      <c r="H18" s="18">
        <v>1255361.46</v>
      </c>
      <c r="I18" s="18">
        <v>874691.11</v>
      </c>
    </row>
    <row r="19" spans="1:9" ht="12.75" customHeight="1" x14ac:dyDescent="0.2">
      <c r="A19" s="190" t="s">
        <v>14</v>
      </c>
      <c r="B19" s="190"/>
      <c r="C19" s="190"/>
      <c r="D19" s="190"/>
      <c r="E19" s="190"/>
      <c r="F19" s="190"/>
      <c r="G19" s="11">
        <v>12</v>
      </c>
      <c r="H19" s="18">
        <v>1316696</v>
      </c>
      <c r="I19" s="18">
        <v>1497825.76</v>
      </c>
    </row>
    <row r="20" spans="1:9" ht="12.75" customHeight="1" x14ac:dyDescent="0.2">
      <c r="A20" s="190" t="s">
        <v>15</v>
      </c>
      <c r="B20" s="190"/>
      <c r="C20" s="190"/>
      <c r="D20" s="190"/>
      <c r="E20" s="190"/>
      <c r="F20" s="190"/>
      <c r="G20" s="11">
        <v>13</v>
      </c>
      <c r="H20" s="18">
        <v>4547206.58</v>
      </c>
      <c r="I20" s="18">
        <v>5164382.4900000161</v>
      </c>
    </row>
    <row r="21" spans="1:9" ht="12.75" customHeight="1" x14ac:dyDescent="0.2">
      <c r="A21" s="190" t="s">
        <v>16</v>
      </c>
      <c r="B21" s="190"/>
      <c r="C21" s="190"/>
      <c r="D21" s="190"/>
      <c r="E21" s="190"/>
      <c r="F21" s="190"/>
      <c r="G21" s="11">
        <v>14</v>
      </c>
      <c r="H21" s="18">
        <v>775332.51</v>
      </c>
      <c r="I21" s="18">
        <v>695107.17999999947</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42423.75</v>
      </c>
      <c r="I23" s="18">
        <v>39553.549999999974</v>
      </c>
    </row>
    <row r="24" spans="1:9" ht="12.75" customHeight="1" x14ac:dyDescent="0.2">
      <c r="A24" s="190" t="s">
        <v>19</v>
      </c>
      <c r="B24" s="190"/>
      <c r="C24" s="190"/>
      <c r="D24" s="190"/>
      <c r="E24" s="190"/>
      <c r="F24" s="190"/>
      <c r="G24" s="11">
        <v>17</v>
      </c>
      <c r="H24" s="18">
        <v>39630.86</v>
      </c>
      <c r="I24" s="18">
        <v>53861.7</v>
      </c>
    </row>
    <row r="25" spans="1:9" ht="12.75" customHeight="1" x14ac:dyDescent="0.2">
      <c r="A25" s="190" t="s">
        <v>20</v>
      </c>
      <c r="B25" s="190"/>
      <c r="C25" s="190"/>
      <c r="D25" s="190"/>
      <c r="E25" s="190"/>
      <c r="F25" s="190"/>
      <c r="G25" s="11">
        <v>18</v>
      </c>
      <c r="H25" s="18">
        <v>40423.51</v>
      </c>
      <c r="I25" s="18">
        <v>40423.51</v>
      </c>
    </row>
    <row r="26" spans="1:9" ht="12.75" customHeight="1" x14ac:dyDescent="0.2">
      <c r="A26" s="190" t="s">
        <v>21</v>
      </c>
      <c r="B26" s="190"/>
      <c r="C26" s="190"/>
      <c r="D26" s="190"/>
      <c r="E26" s="190"/>
      <c r="F26" s="190"/>
      <c r="G26" s="11">
        <v>19</v>
      </c>
      <c r="H26" s="18">
        <v>32848</v>
      </c>
      <c r="I26" s="18">
        <v>78748</v>
      </c>
    </row>
    <row r="27" spans="1:9" ht="12.75" customHeight="1" x14ac:dyDescent="0.2">
      <c r="A27" s="191" t="s">
        <v>22</v>
      </c>
      <c r="B27" s="191"/>
      <c r="C27" s="191"/>
      <c r="D27" s="191"/>
      <c r="E27" s="191"/>
      <c r="F27" s="191"/>
      <c r="G27" s="12">
        <v>20</v>
      </c>
      <c r="H27" s="82">
        <f>SUM(H28:H37)</f>
        <v>2002788.7600000002</v>
      </c>
      <c r="I27" s="82">
        <f>SUM(I28:I37)</f>
        <v>2116230</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f>1990842.12-5308.9</f>
        <v>1985533.2200000002</v>
      </c>
      <c r="I31" s="18">
        <v>1990842</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17255.54</v>
      </c>
      <c r="I35" s="18">
        <v>125388</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1" t="s">
        <v>33</v>
      </c>
      <c r="B38" s="191"/>
      <c r="C38" s="191"/>
      <c r="D38" s="191"/>
      <c r="E38" s="191"/>
      <c r="F38" s="191"/>
      <c r="G38" s="12">
        <v>31</v>
      </c>
      <c r="H38" s="82">
        <f>H39+H40+H41+H42</f>
        <v>163215.20000000001</v>
      </c>
      <c r="I38" s="82">
        <f>I39+I40+I41+I42</f>
        <v>110803</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f>115507.13+47708.07</f>
        <v>163215.20000000001</v>
      </c>
      <c r="I42" s="18">
        <v>110803</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9312574.7300000004</v>
      </c>
      <c r="I44" s="82">
        <f>I45+I53+I60+I70</f>
        <v>7134983.768851066</v>
      </c>
    </row>
    <row r="45" spans="1:9" ht="12.75" customHeight="1" x14ac:dyDescent="0.2">
      <c r="A45" s="191" t="s">
        <v>39</v>
      </c>
      <c r="B45" s="191"/>
      <c r="C45" s="191"/>
      <c r="D45" s="191"/>
      <c r="E45" s="191"/>
      <c r="F45" s="191"/>
      <c r="G45" s="12">
        <v>38</v>
      </c>
      <c r="H45" s="82">
        <f>SUM(H46:H52)</f>
        <v>1707902.93</v>
      </c>
      <c r="I45" s="82">
        <f>SUM(I46:I52)</f>
        <v>75618</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v>75408.039999999994</v>
      </c>
      <c r="I47" s="18">
        <v>75618</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1632494.89</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3266296.2600000002</v>
      </c>
      <c r="I53" s="82">
        <f>SUM(I54:I59)</f>
        <v>3334759.7856780235</v>
      </c>
    </row>
    <row r="54" spans="1:9" ht="12.75" customHeight="1" x14ac:dyDescent="0.2">
      <c r="A54" s="190" t="s">
        <v>48</v>
      </c>
      <c r="B54" s="190"/>
      <c r="C54" s="190"/>
      <c r="D54" s="190"/>
      <c r="E54" s="190"/>
      <c r="F54" s="190"/>
      <c r="G54" s="11">
        <v>47</v>
      </c>
      <c r="H54" s="18">
        <v>0</v>
      </c>
      <c r="I54" s="18"/>
    </row>
    <row r="55" spans="1:9" ht="12.75" customHeight="1" x14ac:dyDescent="0.2">
      <c r="A55" s="190" t="s">
        <v>49</v>
      </c>
      <c r="B55" s="190"/>
      <c r="C55" s="190"/>
      <c r="D55" s="190"/>
      <c r="E55" s="190"/>
      <c r="F55" s="190"/>
      <c r="G55" s="11">
        <v>48</v>
      </c>
      <c r="H55" s="18">
        <v>6145.16</v>
      </c>
      <c r="I55" s="18">
        <v>6145.1599999999962</v>
      </c>
    </row>
    <row r="56" spans="1:9" ht="12.75" customHeight="1" x14ac:dyDescent="0.2">
      <c r="A56" s="190" t="s">
        <v>50</v>
      </c>
      <c r="B56" s="190"/>
      <c r="C56" s="190"/>
      <c r="D56" s="190"/>
      <c r="E56" s="190"/>
      <c r="F56" s="190"/>
      <c r="G56" s="11">
        <v>49</v>
      </c>
      <c r="H56" s="18">
        <v>2070478.68</v>
      </c>
      <c r="I56" s="18">
        <v>2085151.8199637404</v>
      </c>
    </row>
    <row r="57" spans="1:9" ht="12.75" customHeight="1" x14ac:dyDescent="0.2">
      <c r="A57" s="190" t="s">
        <v>51</v>
      </c>
      <c r="B57" s="190"/>
      <c r="C57" s="190"/>
      <c r="D57" s="190"/>
      <c r="E57" s="190"/>
      <c r="F57" s="190"/>
      <c r="G57" s="11">
        <v>50</v>
      </c>
      <c r="H57" s="18">
        <v>178419.83</v>
      </c>
      <c r="I57" s="18">
        <v>142955.41000000009</v>
      </c>
    </row>
    <row r="58" spans="1:9" ht="12.75" customHeight="1" x14ac:dyDescent="0.2">
      <c r="A58" s="190" t="s">
        <v>52</v>
      </c>
      <c r="B58" s="190"/>
      <c r="C58" s="190"/>
      <c r="D58" s="190"/>
      <c r="E58" s="190"/>
      <c r="F58" s="190"/>
      <c r="G58" s="11">
        <v>51</v>
      </c>
      <c r="H58" s="18">
        <v>127746.24000000001</v>
      </c>
      <c r="I58" s="18">
        <v>143229.38571428315</v>
      </c>
    </row>
    <row r="59" spans="1:9" ht="12.75" customHeight="1" x14ac:dyDescent="0.2">
      <c r="A59" s="190" t="s">
        <v>53</v>
      </c>
      <c r="B59" s="190"/>
      <c r="C59" s="190"/>
      <c r="D59" s="190"/>
      <c r="E59" s="190"/>
      <c r="F59" s="190"/>
      <c r="G59" s="11">
        <v>52</v>
      </c>
      <c r="H59" s="18">
        <v>883506.35</v>
      </c>
      <c r="I59" s="18">
        <v>957278.01</v>
      </c>
    </row>
    <row r="60" spans="1:9" ht="12.75" customHeight="1" x14ac:dyDescent="0.2">
      <c r="A60" s="191" t="s">
        <v>54</v>
      </c>
      <c r="B60" s="191"/>
      <c r="C60" s="191"/>
      <c r="D60" s="191"/>
      <c r="E60" s="191"/>
      <c r="F60" s="191"/>
      <c r="G60" s="12">
        <v>53</v>
      </c>
      <c r="H60" s="82">
        <f>SUM(H61:H69)</f>
        <v>3904858.27</v>
      </c>
      <c r="I60" s="82">
        <f>SUM(I61:I69)</f>
        <v>3591247.09031589</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3538.92</v>
      </c>
      <c r="I67" s="18">
        <v>3538.92</v>
      </c>
    </row>
    <row r="68" spans="1:9" ht="12.75" customHeight="1" x14ac:dyDescent="0.2">
      <c r="A68" s="190" t="s">
        <v>30</v>
      </c>
      <c r="B68" s="190"/>
      <c r="C68" s="190"/>
      <c r="D68" s="190"/>
      <c r="E68" s="190"/>
      <c r="F68" s="190"/>
      <c r="G68" s="11">
        <v>61</v>
      </c>
      <c r="H68" s="18">
        <f>3883597.64-3625.9</f>
        <v>3879971.74</v>
      </c>
      <c r="I68" s="18">
        <v>3566360.5603158902</v>
      </c>
    </row>
    <row r="69" spans="1:9" ht="12.75" customHeight="1" x14ac:dyDescent="0.2">
      <c r="A69" s="190" t="s">
        <v>56</v>
      </c>
      <c r="B69" s="190"/>
      <c r="C69" s="190"/>
      <c r="D69" s="190"/>
      <c r="E69" s="190"/>
      <c r="F69" s="190"/>
      <c r="G69" s="11">
        <v>62</v>
      </c>
      <c r="H69" s="18">
        <v>21347.61</v>
      </c>
      <c r="I69" s="18">
        <v>21347.61</v>
      </c>
    </row>
    <row r="70" spans="1:9" ht="12.75" customHeight="1" x14ac:dyDescent="0.2">
      <c r="A70" s="190" t="s">
        <v>57</v>
      </c>
      <c r="B70" s="190"/>
      <c r="C70" s="190"/>
      <c r="D70" s="190"/>
      <c r="E70" s="190"/>
      <c r="F70" s="190"/>
      <c r="G70" s="11">
        <v>63</v>
      </c>
      <c r="H70" s="18">
        <v>433517.27</v>
      </c>
      <c r="I70" s="18">
        <v>133358.89285715276</v>
      </c>
    </row>
    <row r="71" spans="1:9" ht="12.75" customHeight="1" x14ac:dyDescent="0.2">
      <c r="A71" s="206" t="s">
        <v>58</v>
      </c>
      <c r="B71" s="206"/>
      <c r="C71" s="206"/>
      <c r="D71" s="206"/>
      <c r="E71" s="206"/>
      <c r="F71" s="206"/>
      <c r="G71" s="11">
        <v>64</v>
      </c>
      <c r="H71" s="18">
        <v>1138068</v>
      </c>
      <c r="I71" s="18">
        <v>1884360.1400000006</v>
      </c>
    </row>
    <row r="72" spans="1:9" ht="12.75" customHeight="1" x14ac:dyDescent="0.2">
      <c r="A72" s="192" t="s">
        <v>304</v>
      </c>
      <c r="B72" s="192"/>
      <c r="C72" s="192"/>
      <c r="D72" s="192"/>
      <c r="E72" s="192"/>
      <c r="F72" s="192"/>
      <c r="G72" s="12">
        <v>65</v>
      </c>
      <c r="H72" s="82">
        <f>H8+H9+H44+H71</f>
        <v>20686860.43</v>
      </c>
      <c r="I72" s="82">
        <f>I8+I9+I44+I71</f>
        <v>19723706.208851084</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354</v>
      </c>
      <c r="B75" s="192"/>
      <c r="C75" s="192"/>
      <c r="D75" s="192"/>
      <c r="E75" s="192"/>
      <c r="F75" s="192"/>
      <c r="G75" s="12">
        <v>67</v>
      </c>
      <c r="H75" s="83">
        <f>H76+H77+H78+H84+H85+H91+H94+H97</f>
        <v>3877640.3000000003</v>
      </c>
      <c r="I75" s="83">
        <f>I76+I77+I78+I84+I85+I91+I94+I97</f>
        <v>4806860.1384013537</v>
      </c>
    </row>
    <row r="76" spans="1:9" ht="12.75" customHeight="1" x14ac:dyDescent="0.2">
      <c r="A76" s="190" t="s">
        <v>61</v>
      </c>
      <c r="B76" s="190"/>
      <c r="C76" s="190"/>
      <c r="D76" s="190"/>
      <c r="E76" s="190"/>
      <c r="F76" s="190"/>
      <c r="G76" s="11">
        <v>68</v>
      </c>
      <c r="H76" s="18">
        <v>14814630</v>
      </c>
      <c r="I76" s="18">
        <v>14814630</v>
      </c>
    </row>
    <row r="77" spans="1:9" ht="12.75" customHeight="1" x14ac:dyDescent="0.2">
      <c r="A77" s="190" t="s">
        <v>62</v>
      </c>
      <c r="B77" s="190"/>
      <c r="C77" s="190"/>
      <c r="D77" s="190"/>
      <c r="E77" s="190"/>
      <c r="F77" s="190"/>
      <c r="G77" s="11">
        <v>69</v>
      </c>
      <c r="H77" s="18">
        <v>-33895.11</v>
      </c>
      <c r="I77" s="18">
        <v>-33895.11</v>
      </c>
    </row>
    <row r="78" spans="1:9" ht="12.75" customHeight="1" x14ac:dyDescent="0.2">
      <c r="A78" s="191" t="s">
        <v>63</v>
      </c>
      <c r="B78" s="191"/>
      <c r="C78" s="191"/>
      <c r="D78" s="191"/>
      <c r="E78" s="191"/>
      <c r="F78" s="191"/>
      <c r="G78" s="12">
        <v>70</v>
      </c>
      <c r="H78" s="83">
        <f>SUM(H79:H83)</f>
        <v>-291605.83999999997</v>
      </c>
      <c r="I78" s="83">
        <f>SUM(I79:I83)</f>
        <v>-291605.83999999997</v>
      </c>
    </row>
    <row r="79" spans="1:9" ht="12.75" customHeight="1" x14ac:dyDescent="0.2">
      <c r="A79" s="190" t="s">
        <v>64</v>
      </c>
      <c r="B79" s="190"/>
      <c r="C79" s="190"/>
      <c r="D79" s="190"/>
      <c r="E79" s="190"/>
      <c r="F79" s="190"/>
      <c r="G79" s="11">
        <v>71</v>
      </c>
      <c r="H79" s="18">
        <v>0</v>
      </c>
      <c r="I79" s="18">
        <v>0</v>
      </c>
    </row>
    <row r="80" spans="1:9" ht="12.75" customHeight="1" x14ac:dyDescent="0.2">
      <c r="A80" s="190" t="s">
        <v>65</v>
      </c>
      <c r="B80" s="190"/>
      <c r="C80" s="190"/>
      <c r="D80" s="190"/>
      <c r="E80" s="190"/>
      <c r="F80" s="190"/>
      <c r="G80" s="11">
        <v>72</v>
      </c>
      <c r="H80" s="18">
        <v>191958.16</v>
      </c>
      <c r="I80" s="18">
        <v>191958.16</v>
      </c>
    </row>
    <row r="81" spans="1:9" ht="12.75" customHeight="1" x14ac:dyDescent="0.2">
      <c r="A81" s="190" t="s">
        <v>66</v>
      </c>
      <c r="B81" s="190"/>
      <c r="C81" s="190"/>
      <c r="D81" s="190"/>
      <c r="E81" s="190"/>
      <c r="F81" s="190"/>
      <c r="G81" s="11">
        <v>73</v>
      </c>
      <c r="H81" s="18">
        <v>-483564</v>
      </c>
      <c r="I81" s="18">
        <v>-483564</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207" t="s">
        <v>69</v>
      </c>
      <c r="B84" s="207"/>
      <c r="C84" s="207"/>
      <c r="D84" s="207"/>
      <c r="E84" s="207"/>
      <c r="F84" s="207"/>
      <c r="G84" s="42">
        <v>76</v>
      </c>
      <c r="H84" s="43">
        <v>2507022</v>
      </c>
      <c r="I84" s="43">
        <v>2171216.1584013538</v>
      </c>
    </row>
    <row r="85" spans="1:9" ht="12.75" customHeight="1" x14ac:dyDescent="0.2">
      <c r="A85" s="191" t="s">
        <v>446</v>
      </c>
      <c r="B85" s="191"/>
      <c r="C85" s="191"/>
      <c r="D85" s="191"/>
      <c r="E85" s="191"/>
      <c r="F85" s="191"/>
      <c r="G85" s="12">
        <v>77</v>
      </c>
      <c r="H85" s="82">
        <f>H86+H87+H88+H89+H90</f>
        <v>98540.93</v>
      </c>
      <c r="I85" s="82">
        <f>I86+I87+I88+I89+I90</f>
        <v>38485.929999999993</v>
      </c>
    </row>
    <row r="86" spans="1:9" ht="25.5" customHeight="1" x14ac:dyDescent="0.2">
      <c r="A86" s="190" t="s">
        <v>447</v>
      </c>
      <c r="B86" s="190"/>
      <c r="C86" s="190"/>
      <c r="D86" s="190"/>
      <c r="E86" s="190"/>
      <c r="F86" s="190"/>
      <c r="G86" s="11">
        <v>78</v>
      </c>
      <c r="H86" s="18">
        <v>133710.93</v>
      </c>
      <c r="I86" s="18">
        <v>133710.93</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-35170</v>
      </c>
      <c r="I90" s="18">
        <v>-95225</v>
      </c>
    </row>
    <row r="91" spans="1:9" ht="12.75" customHeight="1" x14ac:dyDescent="0.2">
      <c r="A91" s="191" t="s">
        <v>352</v>
      </c>
      <c r="B91" s="191"/>
      <c r="C91" s="191"/>
      <c r="D91" s="191"/>
      <c r="E91" s="191"/>
      <c r="F91" s="191"/>
      <c r="G91" s="12">
        <v>83</v>
      </c>
      <c r="H91" s="82">
        <f>H92-H93</f>
        <v>-18265428</v>
      </c>
      <c r="I91" s="82">
        <f>I92-I93</f>
        <v>-12802357</v>
      </c>
    </row>
    <row r="92" spans="1:9" ht="12.75" customHeight="1" x14ac:dyDescent="0.2">
      <c r="A92" s="190" t="s">
        <v>72</v>
      </c>
      <c r="B92" s="190"/>
      <c r="C92" s="190"/>
      <c r="D92" s="190"/>
      <c r="E92" s="190"/>
      <c r="F92" s="190"/>
      <c r="G92" s="11">
        <v>84</v>
      </c>
      <c r="H92" s="18"/>
      <c r="I92" s="18"/>
    </row>
    <row r="93" spans="1:9" ht="12.75" customHeight="1" x14ac:dyDescent="0.2">
      <c r="A93" s="190" t="s">
        <v>73</v>
      </c>
      <c r="B93" s="190"/>
      <c r="C93" s="190"/>
      <c r="D93" s="190"/>
      <c r="E93" s="190"/>
      <c r="F93" s="190"/>
      <c r="G93" s="11">
        <v>85</v>
      </c>
      <c r="H93" s="18">
        <v>18265428</v>
      </c>
      <c r="I93" s="18">
        <v>12802357</v>
      </c>
    </row>
    <row r="94" spans="1:9" ht="12.75" customHeight="1" x14ac:dyDescent="0.2">
      <c r="A94" s="191" t="s">
        <v>353</v>
      </c>
      <c r="B94" s="191"/>
      <c r="C94" s="191"/>
      <c r="D94" s="191"/>
      <c r="E94" s="191"/>
      <c r="F94" s="191"/>
      <c r="G94" s="12">
        <v>86</v>
      </c>
      <c r="H94" s="82">
        <f>H95-H96</f>
        <v>4985294</v>
      </c>
      <c r="I94" s="82">
        <f>I95-I96</f>
        <v>847304</v>
      </c>
    </row>
    <row r="95" spans="1:9" ht="12.75" customHeight="1" x14ac:dyDescent="0.2">
      <c r="A95" s="190" t="s">
        <v>74</v>
      </c>
      <c r="B95" s="190"/>
      <c r="C95" s="190"/>
      <c r="D95" s="190"/>
      <c r="E95" s="190"/>
      <c r="F95" s="190"/>
      <c r="G95" s="11">
        <v>87</v>
      </c>
      <c r="H95" s="18">
        <v>4985294</v>
      </c>
      <c r="I95" s="18">
        <f>RDG!J66</f>
        <v>847304</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63082.32</v>
      </c>
      <c r="I97" s="18">
        <v>63082</v>
      </c>
    </row>
    <row r="98" spans="1:9" ht="12.75" customHeight="1" x14ac:dyDescent="0.2">
      <c r="A98" s="192" t="s">
        <v>355</v>
      </c>
      <c r="B98" s="192"/>
      <c r="C98" s="192"/>
      <c r="D98" s="192"/>
      <c r="E98" s="192"/>
      <c r="F98" s="192"/>
      <c r="G98" s="12">
        <v>90</v>
      </c>
      <c r="H98" s="82">
        <f>SUM(H99:H104)</f>
        <v>1324489.47</v>
      </c>
      <c r="I98" s="82">
        <f>SUM(I99:I104)</f>
        <v>631572.31999999995</v>
      </c>
    </row>
    <row r="99" spans="1:9" ht="12.75" customHeight="1" x14ac:dyDescent="0.2">
      <c r="A99" s="190" t="s">
        <v>77</v>
      </c>
      <c r="B99" s="190"/>
      <c r="C99" s="190"/>
      <c r="D99" s="190"/>
      <c r="E99" s="190"/>
      <c r="F99" s="190"/>
      <c r="G99" s="11">
        <v>91</v>
      </c>
      <c r="H99" s="18">
        <v>85243.88</v>
      </c>
      <c r="I99" s="18">
        <v>78858.599999999948</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904252.99</v>
      </c>
      <c r="I101" s="18">
        <v>248277.25000000006</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334992.59999999998</v>
      </c>
      <c r="I104" s="18">
        <v>304436.46999999997</v>
      </c>
    </row>
    <row r="105" spans="1:9" ht="12.75" customHeight="1" x14ac:dyDescent="0.2">
      <c r="A105" s="192" t="s">
        <v>356</v>
      </c>
      <c r="B105" s="192"/>
      <c r="C105" s="192"/>
      <c r="D105" s="192"/>
      <c r="E105" s="192"/>
      <c r="F105" s="192"/>
      <c r="G105" s="12">
        <v>97</v>
      </c>
      <c r="H105" s="82">
        <f>SUM(H106:H116)</f>
        <v>2377555.2200000002</v>
      </c>
      <c r="I105" s="82">
        <f>SUM(I106:I116)</f>
        <v>2754234.459010412</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1911320.49</v>
      </c>
      <c r="I110" s="18">
        <v>2332875.8990104119</v>
      </c>
    </row>
    <row r="111" spans="1:9" ht="12.75" customHeight="1" x14ac:dyDescent="0.2">
      <c r="A111" s="190" t="s">
        <v>88</v>
      </c>
      <c r="B111" s="190"/>
      <c r="C111" s="190"/>
      <c r="D111" s="190"/>
      <c r="E111" s="190"/>
      <c r="F111" s="190"/>
      <c r="G111" s="11">
        <v>103</v>
      </c>
      <c r="H111" s="18">
        <v>200</v>
      </c>
      <c r="I111" s="18">
        <v>200</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26269.09</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0</v>
      </c>
      <c r="I115" s="18">
        <v>0</v>
      </c>
    </row>
    <row r="116" spans="1:9" ht="12.75" customHeight="1" x14ac:dyDescent="0.2">
      <c r="A116" s="190" t="s">
        <v>93</v>
      </c>
      <c r="B116" s="190"/>
      <c r="C116" s="190"/>
      <c r="D116" s="190"/>
      <c r="E116" s="190"/>
      <c r="F116" s="190"/>
      <c r="G116" s="11">
        <v>108</v>
      </c>
      <c r="H116" s="18">
        <v>439765.64</v>
      </c>
      <c r="I116" s="18">
        <v>421158.56</v>
      </c>
    </row>
    <row r="117" spans="1:9" ht="12.75" customHeight="1" x14ac:dyDescent="0.2">
      <c r="A117" s="192" t="s">
        <v>357</v>
      </c>
      <c r="B117" s="192"/>
      <c r="C117" s="192"/>
      <c r="D117" s="192"/>
      <c r="E117" s="192"/>
      <c r="F117" s="192"/>
      <c r="G117" s="12">
        <v>109</v>
      </c>
      <c r="H117" s="82">
        <f>SUM(H118:H131)</f>
        <v>12688956.029999997</v>
      </c>
      <c r="I117" s="82">
        <f>SUM(I118:I131)</f>
        <v>11261440.756734665</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412055.12</v>
      </c>
      <c r="I120" s="18">
        <v>417819.60040816333</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f>3261809.83+2213861.56</f>
        <v>5475671.3900000006</v>
      </c>
      <c r="I122" s="18">
        <v>4157911.4369387459</v>
      </c>
    </row>
    <row r="123" spans="1:9" ht="12.75" customHeight="1" x14ac:dyDescent="0.2">
      <c r="A123" s="190" t="s">
        <v>88</v>
      </c>
      <c r="B123" s="190"/>
      <c r="C123" s="190"/>
      <c r="D123" s="190"/>
      <c r="E123" s="190"/>
      <c r="F123" s="190"/>
      <c r="G123" s="11">
        <v>115</v>
      </c>
      <c r="H123" s="18">
        <v>9241.61</v>
      </c>
      <c r="I123" s="18">
        <v>0</v>
      </c>
    </row>
    <row r="124" spans="1:9" ht="12.75" customHeight="1" x14ac:dyDescent="0.2">
      <c r="A124" s="190" t="s">
        <v>89</v>
      </c>
      <c r="B124" s="190"/>
      <c r="C124" s="190"/>
      <c r="D124" s="190"/>
      <c r="E124" s="190"/>
      <c r="F124" s="190"/>
      <c r="G124" s="11">
        <v>116</v>
      </c>
      <c r="H124" s="18">
        <v>787666.27</v>
      </c>
      <c r="I124" s="18">
        <v>492802.22000000009</v>
      </c>
    </row>
    <row r="125" spans="1:9" ht="12.75" customHeight="1" x14ac:dyDescent="0.2">
      <c r="A125" s="190" t="s">
        <v>90</v>
      </c>
      <c r="B125" s="190"/>
      <c r="C125" s="190"/>
      <c r="D125" s="190"/>
      <c r="E125" s="190"/>
      <c r="F125" s="190"/>
      <c r="G125" s="11">
        <v>117</v>
      </c>
      <c r="H125" s="18">
        <f>2902667.23+245.63</f>
        <v>2902912.86</v>
      </c>
      <c r="I125" s="18">
        <v>4005238.1010204083</v>
      </c>
    </row>
    <row r="126" spans="1:9" x14ac:dyDescent="0.2">
      <c r="A126" s="190" t="s">
        <v>91</v>
      </c>
      <c r="B126" s="190"/>
      <c r="C126" s="190"/>
      <c r="D126" s="190"/>
      <c r="E126" s="190"/>
      <c r="F126" s="190"/>
      <c r="G126" s="11">
        <v>118</v>
      </c>
      <c r="H126" s="18">
        <v>91003.86</v>
      </c>
      <c r="I126" s="18">
        <v>0</v>
      </c>
    </row>
    <row r="127" spans="1:9" x14ac:dyDescent="0.2">
      <c r="A127" s="190" t="s">
        <v>94</v>
      </c>
      <c r="B127" s="190"/>
      <c r="C127" s="190"/>
      <c r="D127" s="190"/>
      <c r="E127" s="190"/>
      <c r="F127" s="190"/>
      <c r="G127" s="11">
        <v>119</v>
      </c>
      <c r="H127" s="18">
        <v>845976.29</v>
      </c>
      <c r="I127" s="18">
        <v>691073.05571428791</v>
      </c>
    </row>
    <row r="128" spans="1:9" x14ac:dyDescent="0.2">
      <c r="A128" s="190" t="s">
        <v>95</v>
      </c>
      <c r="B128" s="190"/>
      <c r="C128" s="190"/>
      <c r="D128" s="190"/>
      <c r="E128" s="190"/>
      <c r="F128" s="190"/>
      <c r="G128" s="11">
        <v>120</v>
      </c>
      <c r="H128" s="18">
        <v>1518805.92</v>
      </c>
      <c r="I128" s="18">
        <v>978704.02265306085</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645622.71</v>
      </c>
      <c r="I131" s="18">
        <v>517892.32</v>
      </c>
    </row>
    <row r="132" spans="1:9" ht="22.15" customHeight="1" x14ac:dyDescent="0.2">
      <c r="A132" s="206" t="s">
        <v>99</v>
      </c>
      <c r="B132" s="206"/>
      <c r="C132" s="206"/>
      <c r="D132" s="206"/>
      <c r="E132" s="206"/>
      <c r="F132" s="206"/>
      <c r="G132" s="11">
        <v>124</v>
      </c>
      <c r="H132" s="18">
        <v>418219</v>
      </c>
      <c r="I132" s="18">
        <f>271698-2099-1</f>
        <v>269598</v>
      </c>
    </row>
    <row r="133" spans="1:9" ht="12.75" customHeight="1" x14ac:dyDescent="0.2">
      <c r="A133" s="192" t="s">
        <v>358</v>
      </c>
      <c r="B133" s="192"/>
      <c r="C133" s="192"/>
      <c r="D133" s="192"/>
      <c r="E133" s="192"/>
      <c r="F133" s="192"/>
      <c r="G133" s="12">
        <v>125</v>
      </c>
      <c r="H133" s="82">
        <f>H75+H98+H105+H117+H132</f>
        <v>20686860.019999996</v>
      </c>
      <c r="I133" s="82">
        <f>I75+I98+I105+I117+I132</f>
        <v>19723705.674146432</v>
      </c>
    </row>
    <row r="134" spans="1:9" x14ac:dyDescent="0.2">
      <c r="A134" s="206" t="s">
        <v>100</v>
      </c>
      <c r="B134" s="206"/>
      <c r="C134" s="206"/>
      <c r="D134" s="206"/>
      <c r="E134" s="206"/>
      <c r="F134" s="206"/>
      <c r="G134" s="11">
        <v>126</v>
      </c>
      <c r="H134" s="18">
        <v>0</v>
      </c>
      <c r="I134" s="18"/>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5" zoomScale="110" zoomScaleNormal="110" zoomScaleSheetLayoutView="110" workbookViewId="0">
      <selection activeCell="J23" sqref="J23"/>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462</v>
      </c>
      <c r="B2" s="213"/>
      <c r="C2" s="213"/>
      <c r="D2" s="213"/>
      <c r="E2" s="213"/>
      <c r="F2" s="213"/>
      <c r="G2" s="213"/>
      <c r="H2" s="213"/>
      <c r="I2" s="213"/>
    </row>
    <row r="3" spans="1:11" x14ac:dyDescent="0.2">
      <c r="A3" s="214" t="s">
        <v>448</v>
      </c>
      <c r="B3" s="215"/>
      <c r="C3" s="215"/>
      <c r="D3" s="215"/>
      <c r="E3" s="215"/>
      <c r="F3" s="215"/>
      <c r="G3" s="215"/>
      <c r="H3" s="215"/>
      <c r="I3" s="215"/>
      <c r="J3" s="216"/>
      <c r="K3" s="216"/>
    </row>
    <row r="4" spans="1:11" x14ac:dyDescent="0.2">
      <c r="A4" s="217" t="str">
        <f>Bilanca!A4</f>
        <v>Obveznik: INSTITUT IGH d.d.</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359</v>
      </c>
      <c r="B8" s="224"/>
      <c r="C8" s="224"/>
      <c r="D8" s="224"/>
      <c r="E8" s="224"/>
      <c r="F8" s="224"/>
      <c r="G8" s="12">
        <v>1</v>
      </c>
      <c r="H8" s="48">
        <f>SUM(H9:H13)</f>
        <v>29403704.93</v>
      </c>
      <c r="I8" s="48">
        <f>SUM(I9:I13)</f>
        <v>5970452</v>
      </c>
      <c r="J8" s="48">
        <f>SUM(J9:J13)</f>
        <v>20180078</v>
      </c>
      <c r="K8" s="48">
        <f>SUM(K9:K13)</f>
        <v>5020450</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16374990.32</v>
      </c>
      <c r="I10" s="49">
        <v>3803180</v>
      </c>
      <c r="J10" s="49">
        <v>17155215</v>
      </c>
      <c r="K10" s="49">
        <f>17155215-13099916</f>
        <v>4055299</v>
      </c>
    </row>
    <row r="11" spans="1:11" ht="12.75" customHeight="1" x14ac:dyDescent="0.2">
      <c r="A11" s="190" t="s">
        <v>117</v>
      </c>
      <c r="B11" s="190"/>
      <c r="C11" s="190"/>
      <c r="D11" s="190"/>
      <c r="E11" s="190"/>
      <c r="F11" s="190"/>
      <c r="G11" s="11">
        <v>4</v>
      </c>
      <c r="H11" s="49">
        <v>30511.94</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12998202.670000002</v>
      </c>
      <c r="I13" s="49">
        <v>2167272</v>
      </c>
      <c r="J13" s="49">
        <v>3024863</v>
      </c>
      <c r="K13" s="49">
        <f>3024863-2059712</f>
        <v>965151</v>
      </c>
    </row>
    <row r="14" spans="1:11" ht="12.75" customHeight="1" x14ac:dyDescent="0.2">
      <c r="A14" s="224" t="s">
        <v>360</v>
      </c>
      <c r="B14" s="224"/>
      <c r="C14" s="224"/>
      <c r="D14" s="224"/>
      <c r="E14" s="224"/>
      <c r="F14" s="224"/>
      <c r="G14" s="12">
        <v>7</v>
      </c>
      <c r="H14" s="48">
        <f>H15+H16+H20+H24+H25+H26+H29+H36</f>
        <v>21216792.219999999</v>
      </c>
      <c r="I14" s="48">
        <f>I15+I16+I20+I24+I25+I26+I29+I36</f>
        <v>4590887</v>
      </c>
      <c r="J14" s="48">
        <f>J15+J16+J20+J24+J25+J26+J29+J36</f>
        <v>19052802</v>
      </c>
      <c r="K14" s="48">
        <f>K15+K16+K20+K24+K25+K26+K29+K36</f>
        <v>4606718</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440</v>
      </c>
      <c r="B16" s="191"/>
      <c r="C16" s="191"/>
      <c r="D16" s="191"/>
      <c r="E16" s="191"/>
      <c r="F16" s="191"/>
      <c r="G16" s="12">
        <v>9</v>
      </c>
      <c r="H16" s="48">
        <f>SUM(H17:H19)</f>
        <v>5464953.2700000005</v>
      </c>
      <c r="I16" s="48">
        <f>SUM(I17:I19)</f>
        <v>773667</v>
      </c>
      <c r="J16" s="48">
        <f>SUM(J17:J19)</f>
        <v>5011435</v>
      </c>
      <c r="K16" s="48">
        <f>SUM(K17:K19)</f>
        <v>1250733</v>
      </c>
    </row>
    <row r="17" spans="1:11" ht="12.75" customHeight="1" x14ac:dyDescent="0.2">
      <c r="A17" s="225" t="s">
        <v>120</v>
      </c>
      <c r="B17" s="225"/>
      <c r="C17" s="225"/>
      <c r="D17" s="225"/>
      <c r="E17" s="225"/>
      <c r="F17" s="225"/>
      <c r="G17" s="11">
        <v>10</v>
      </c>
      <c r="H17" s="49">
        <v>762207.28</v>
      </c>
      <c r="I17" s="49">
        <v>144232</v>
      </c>
      <c r="J17" s="49">
        <v>660204</v>
      </c>
      <c r="K17" s="49">
        <f>660204-466412</f>
        <v>193792</v>
      </c>
    </row>
    <row r="18" spans="1:11" ht="12.75" customHeight="1" x14ac:dyDescent="0.2">
      <c r="A18" s="225" t="s">
        <v>121</v>
      </c>
      <c r="B18" s="225"/>
      <c r="C18" s="225"/>
      <c r="D18" s="225"/>
      <c r="E18" s="225"/>
      <c r="F18" s="225"/>
      <c r="G18" s="11">
        <v>11</v>
      </c>
      <c r="H18" s="49">
        <v>0</v>
      </c>
      <c r="I18" s="49">
        <v>0</v>
      </c>
      <c r="J18" s="49">
        <v>0</v>
      </c>
      <c r="K18" s="49">
        <v>0</v>
      </c>
    </row>
    <row r="19" spans="1:11" ht="12.75" customHeight="1" x14ac:dyDescent="0.2">
      <c r="A19" s="225" t="s">
        <v>122</v>
      </c>
      <c r="B19" s="225"/>
      <c r="C19" s="225"/>
      <c r="D19" s="225"/>
      <c r="E19" s="225"/>
      <c r="F19" s="225"/>
      <c r="G19" s="11">
        <v>12</v>
      </c>
      <c r="H19" s="49">
        <v>4702745.99</v>
      </c>
      <c r="I19" s="49">
        <v>629435</v>
      </c>
      <c r="J19" s="49">
        <v>4351231</v>
      </c>
      <c r="K19" s="49">
        <f>4351231-3294290</f>
        <v>1056941</v>
      </c>
    </row>
    <row r="20" spans="1:11" ht="12.75" customHeight="1" x14ac:dyDescent="0.2">
      <c r="A20" s="191" t="s">
        <v>441</v>
      </c>
      <c r="B20" s="191"/>
      <c r="C20" s="191"/>
      <c r="D20" s="191"/>
      <c r="E20" s="191"/>
      <c r="F20" s="191"/>
      <c r="G20" s="12">
        <v>13</v>
      </c>
      <c r="H20" s="48">
        <f>SUM(H21:H23)</f>
        <v>10924306.32</v>
      </c>
      <c r="I20" s="48">
        <f>SUM(I21:I23)</f>
        <v>2775051</v>
      </c>
      <c r="J20" s="48">
        <f>SUM(J21:J23)</f>
        <v>10769746</v>
      </c>
      <c r="K20" s="48">
        <f>SUM(K21:K23)</f>
        <v>2693440</v>
      </c>
    </row>
    <row r="21" spans="1:11" ht="12.75" customHeight="1" x14ac:dyDescent="0.2">
      <c r="A21" s="225" t="s">
        <v>105</v>
      </c>
      <c r="B21" s="225"/>
      <c r="C21" s="225"/>
      <c r="D21" s="225"/>
      <c r="E21" s="225"/>
      <c r="F21" s="225"/>
      <c r="G21" s="11">
        <v>14</v>
      </c>
      <c r="H21" s="49">
        <v>6992211.6600000001</v>
      </c>
      <c r="I21" s="49">
        <v>1839086</v>
      </c>
      <c r="J21" s="49">
        <f>6822592-30000</f>
        <v>6792592</v>
      </c>
      <c r="K21" s="49">
        <f>6822592-5135111+25000</f>
        <v>1712481</v>
      </c>
    </row>
    <row r="22" spans="1:11" ht="12.75" customHeight="1" x14ac:dyDescent="0.2">
      <c r="A22" s="225" t="s">
        <v>106</v>
      </c>
      <c r="B22" s="225"/>
      <c r="C22" s="225"/>
      <c r="D22" s="225"/>
      <c r="E22" s="225"/>
      <c r="F22" s="225"/>
      <c r="G22" s="11">
        <v>15</v>
      </c>
      <c r="H22" s="49">
        <v>2621865.87</v>
      </c>
      <c r="I22" s="49">
        <v>627704</v>
      </c>
      <c r="J22" s="49">
        <f>2634079+30000-1</f>
        <v>2664078</v>
      </c>
      <c r="K22" s="49">
        <f>2634079-1985013+10000</f>
        <v>659066</v>
      </c>
    </row>
    <row r="23" spans="1:11" ht="12.75" customHeight="1" x14ac:dyDescent="0.2">
      <c r="A23" s="225" t="s">
        <v>107</v>
      </c>
      <c r="B23" s="225"/>
      <c r="C23" s="225"/>
      <c r="D23" s="225"/>
      <c r="E23" s="225"/>
      <c r="F23" s="225"/>
      <c r="G23" s="11">
        <v>16</v>
      </c>
      <c r="H23" s="49">
        <v>1310228.79</v>
      </c>
      <c r="I23" s="49">
        <v>308261</v>
      </c>
      <c r="J23" s="49">
        <f>1313076</f>
        <v>1313076</v>
      </c>
      <c r="K23" s="49">
        <f>1313076-1001183+10000</f>
        <v>321893</v>
      </c>
    </row>
    <row r="24" spans="1:11" ht="12.75" customHeight="1" x14ac:dyDescent="0.2">
      <c r="A24" s="190" t="s">
        <v>108</v>
      </c>
      <c r="B24" s="190"/>
      <c r="C24" s="190"/>
      <c r="D24" s="190"/>
      <c r="E24" s="190"/>
      <c r="F24" s="190"/>
      <c r="G24" s="11">
        <v>17</v>
      </c>
      <c r="H24" s="49">
        <v>2230481.75</v>
      </c>
      <c r="I24" s="49">
        <v>585094</v>
      </c>
      <c r="J24" s="49">
        <v>2071370</v>
      </c>
      <c r="K24" s="49">
        <f>2071370-1616384</f>
        <v>454986</v>
      </c>
    </row>
    <row r="25" spans="1:11" ht="12.75" customHeight="1" x14ac:dyDescent="0.2">
      <c r="A25" s="190" t="s">
        <v>109</v>
      </c>
      <c r="B25" s="190"/>
      <c r="C25" s="190"/>
      <c r="D25" s="190"/>
      <c r="E25" s="190"/>
      <c r="F25" s="190"/>
      <c r="G25" s="11">
        <v>18</v>
      </c>
      <c r="H25" s="49">
        <v>571773.34</v>
      </c>
      <c r="I25" s="49">
        <v>379665</v>
      </c>
      <c r="J25" s="49">
        <f>671700</f>
        <v>671700</v>
      </c>
      <c r="K25" s="49">
        <f>671700-495078</f>
        <v>176622</v>
      </c>
    </row>
    <row r="26" spans="1:11" ht="12.75" customHeight="1" x14ac:dyDescent="0.2">
      <c r="A26" s="191" t="s">
        <v>442</v>
      </c>
      <c r="B26" s="191"/>
      <c r="C26" s="191"/>
      <c r="D26" s="191"/>
      <c r="E26" s="191"/>
      <c r="F26" s="191"/>
      <c r="G26" s="12">
        <v>19</v>
      </c>
      <c r="H26" s="48">
        <f>H27+H28</f>
        <v>538406.21</v>
      </c>
      <c r="I26" s="48">
        <f>I27+I28</f>
        <v>34920</v>
      </c>
      <c r="J26" s="48">
        <f>J27+J28</f>
        <v>202803</v>
      </c>
      <c r="K26" s="48">
        <f>K27+K28</f>
        <v>8946</v>
      </c>
    </row>
    <row r="27" spans="1:11" ht="12.75" customHeight="1" x14ac:dyDescent="0.2">
      <c r="A27" s="225" t="s">
        <v>123</v>
      </c>
      <c r="B27" s="225"/>
      <c r="C27" s="225"/>
      <c r="D27" s="225"/>
      <c r="E27" s="225"/>
      <c r="F27" s="225"/>
      <c r="G27" s="11">
        <v>20</v>
      </c>
      <c r="H27" s="49">
        <v>170692.83</v>
      </c>
      <c r="I27" s="49">
        <v>0</v>
      </c>
      <c r="J27" s="49">
        <v>0</v>
      </c>
      <c r="K27" s="49">
        <v>0</v>
      </c>
    </row>
    <row r="28" spans="1:11" ht="12.75" customHeight="1" x14ac:dyDescent="0.2">
      <c r="A28" s="225" t="s">
        <v>124</v>
      </c>
      <c r="B28" s="225"/>
      <c r="C28" s="225"/>
      <c r="D28" s="225"/>
      <c r="E28" s="225"/>
      <c r="F28" s="225"/>
      <c r="G28" s="11">
        <v>21</v>
      </c>
      <c r="H28" s="49">
        <v>367713.38</v>
      </c>
      <c r="I28" s="49">
        <v>34920</v>
      </c>
      <c r="J28" s="49">
        <v>202803</v>
      </c>
      <c r="K28" s="49">
        <f>202803-193857</f>
        <v>8946</v>
      </c>
    </row>
    <row r="29" spans="1:11" ht="12.75" customHeight="1" x14ac:dyDescent="0.2">
      <c r="A29" s="191" t="s">
        <v>443</v>
      </c>
      <c r="B29" s="191"/>
      <c r="C29" s="191"/>
      <c r="D29" s="191"/>
      <c r="E29" s="191"/>
      <c r="F29" s="191"/>
      <c r="G29" s="12">
        <v>22</v>
      </c>
      <c r="H29" s="48">
        <f>SUM(H30:H35)</f>
        <v>420236.47</v>
      </c>
      <c r="I29" s="48">
        <f>SUM(I30:I35)</f>
        <v>0</v>
      </c>
      <c r="J29" s="48">
        <f>SUM(J30:J35)</f>
        <v>0</v>
      </c>
      <c r="K29" s="48">
        <f>SUM(K30:K35)</f>
        <v>0</v>
      </c>
    </row>
    <row r="30" spans="1:11" ht="12.75" customHeight="1" x14ac:dyDescent="0.2">
      <c r="A30" s="225" t="s">
        <v>125</v>
      </c>
      <c r="B30" s="225"/>
      <c r="C30" s="225"/>
      <c r="D30" s="225"/>
      <c r="E30" s="225"/>
      <c r="F30" s="225"/>
      <c r="G30" s="11">
        <v>23</v>
      </c>
      <c r="H30" s="49">
        <v>420236.47</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1066634.8600000001</v>
      </c>
      <c r="I36" s="49">
        <v>42490</v>
      </c>
      <c r="J36" s="49">
        <v>325748</v>
      </c>
      <c r="K36" s="49">
        <f>325748-303757</f>
        <v>21991</v>
      </c>
    </row>
    <row r="37" spans="1:11" ht="12.75" customHeight="1" x14ac:dyDescent="0.2">
      <c r="A37" s="224" t="s">
        <v>361</v>
      </c>
      <c r="B37" s="224"/>
      <c r="C37" s="224"/>
      <c r="D37" s="224"/>
      <c r="E37" s="224"/>
      <c r="F37" s="224"/>
      <c r="G37" s="12">
        <v>30</v>
      </c>
      <c r="H37" s="48">
        <f>SUM(H38:H47)</f>
        <v>310948.96999999997</v>
      </c>
      <c r="I37" s="48">
        <f>SUM(I38:I47)</f>
        <v>1879</v>
      </c>
      <c r="J37" s="48">
        <f>SUM(J38:J47)</f>
        <v>68238</v>
      </c>
      <c r="K37" s="48">
        <f>SUM(K38:K47)</f>
        <v>45907</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1882.06</v>
      </c>
      <c r="I44" s="49">
        <f>502-372</f>
        <v>130</v>
      </c>
      <c r="J44" s="49">
        <v>757</v>
      </c>
      <c r="K44" s="49">
        <f>757-413</f>
        <v>344</v>
      </c>
    </row>
    <row r="45" spans="1:11" ht="12.75" customHeight="1" x14ac:dyDescent="0.2">
      <c r="A45" s="190" t="s">
        <v>138</v>
      </c>
      <c r="B45" s="190"/>
      <c r="C45" s="190"/>
      <c r="D45" s="190"/>
      <c r="E45" s="190"/>
      <c r="F45" s="190"/>
      <c r="G45" s="11">
        <v>38</v>
      </c>
      <c r="H45" s="49">
        <v>289248.88</v>
      </c>
      <c r="I45" s="49">
        <f>4492-3772</f>
        <v>720</v>
      </c>
      <c r="J45" s="49">
        <v>40430</v>
      </c>
      <c r="K45" s="49">
        <f>40430-1493</f>
        <v>38937</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19818.03</v>
      </c>
      <c r="I47" s="49">
        <f>13707-12678</f>
        <v>1029</v>
      </c>
      <c r="J47" s="49">
        <v>27051</v>
      </c>
      <c r="K47" s="49">
        <f>27051-20425</f>
        <v>6626</v>
      </c>
    </row>
    <row r="48" spans="1:11" ht="12.75" customHeight="1" x14ac:dyDescent="0.2">
      <c r="A48" s="224" t="s">
        <v>362</v>
      </c>
      <c r="B48" s="224"/>
      <c r="C48" s="224"/>
      <c r="D48" s="224"/>
      <c r="E48" s="224"/>
      <c r="F48" s="224"/>
      <c r="G48" s="12">
        <v>41</v>
      </c>
      <c r="H48" s="48">
        <f>SUM(H49:H55)</f>
        <v>4647410.49</v>
      </c>
      <c r="I48" s="48">
        <f>SUM(I49:I55)</f>
        <v>47302</v>
      </c>
      <c r="J48" s="48">
        <f>SUM(J49:J55)</f>
        <v>479015</v>
      </c>
      <c r="K48" s="48">
        <f>SUM(K49:K55)</f>
        <v>298730</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674252.24</v>
      </c>
      <c r="I51" s="49">
        <v>41680</v>
      </c>
      <c r="J51" s="49">
        <v>226185</v>
      </c>
      <c r="K51" s="49">
        <f>226185-136032</f>
        <v>90153</v>
      </c>
    </row>
    <row r="52" spans="1:11" ht="12.75" customHeight="1" x14ac:dyDescent="0.2">
      <c r="A52" s="228" t="s">
        <v>144</v>
      </c>
      <c r="B52" s="228"/>
      <c r="C52" s="228"/>
      <c r="D52" s="228"/>
      <c r="E52" s="228"/>
      <c r="F52" s="228"/>
      <c r="G52" s="11">
        <v>45</v>
      </c>
      <c r="H52" s="49">
        <v>251351.83</v>
      </c>
      <c r="I52" s="49">
        <v>4232</v>
      </c>
      <c r="J52" s="49">
        <v>234269</v>
      </c>
      <c r="K52" s="49">
        <f>234269-26802</f>
        <v>207467</v>
      </c>
    </row>
    <row r="53" spans="1:11" ht="12.75" customHeight="1" x14ac:dyDescent="0.2">
      <c r="A53" s="228" t="s">
        <v>145</v>
      </c>
      <c r="B53" s="228"/>
      <c r="C53" s="228"/>
      <c r="D53" s="228"/>
      <c r="E53" s="228"/>
      <c r="F53" s="228"/>
      <c r="G53" s="11">
        <v>46</v>
      </c>
      <c r="H53" s="49">
        <v>2666235.83</v>
      </c>
      <c r="I53" s="49">
        <v>0</v>
      </c>
      <c r="J53" s="49">
        <v>0</v>
      </c>
      <c r="K53" s="49">
        <v>0</v>
      </c>
    </row>
    <row r="54" spans="1:11" ht="12.75" customHeight="1" x14ac:dyDescent="0.2">
      <c r="A54" s="228" t="s">
        <v>146</v>
      </c>
      <c r="B54" s="228"/>
      <c r="C54" s="228"/>
      <c r="D54" s="228"/>
      <c r="E54" s="228"/>
      <c r="F54" s="228"/>
      <c r="G54" s="11">
        <v>47</v>
      </c>
      <c r="H54" s="49">
        <v>1052851.81</v>
      </c>
      <c r="I54" s="49">
        <v>0</v>
      </c>
      <c r="J54" s="49">
        <v>0</v>
      </c>
      <c r="K54" s="49">
        <v>0</v>
      </c>
    </row>
    <row r="55" spans="1:11" ht="12.75" customHeight="1" x14ac:dyDescent="0.2">
      <c r="A55" s="228" t="s">
        <v>147</v>
      </c>
      <c r="B55" s="228"/>
      <c r="C55" s="228"/>
      <c r="D55" s="228"/>
      <c r="E55" s="228"/>
      <c r="F55" s="228"/>
      <c r="G55" s="11">
        <v>48</v>
      </c>
      <c r="H55" s="49">
        <v>2718.78</v>
      </c>
      <c r="I55" s="49">
        <v>1390</v>
      </c>
      <c r="J55" s="49">
        <v>18561</v>
      </c>
      <c r="K55" s="49">
        <f>18561-17451</f>
        <v>1110</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363</v>
      </c>
      <c r="B60" s="224"/>
      <c r="C60" s="224"/>
      <c r="D60" s="224"/>
      <c r="E60" s="224"/>
      <c r="F60" s="224"/>
      <c r="G60" s="12">
        <v>53</v>
      </c>
      <c r="H60" s="48">
        <f>H8+H37+H56+H57</f>
        <v>29714653.899999999</v>
      </c>
      <c r="I60" s="48">
        <f t="shared" ref="I60:K60" si="0">I8+I37+I56+I57</f>
        <v>5972331</v>
      </c>
      <c r="J60" s="48">
        <f t="shared" si="0"/>
        <v>20248316</v>
      </c>
      <c r="K60" s="48">
        <f t="shared" si="0"/>
        <v>5066357</v>
      </c>
    </row>
    <row r="61" spans="1:11" ht="12.75" customHeight="1" x14ac:dyDescent="0.2">
      <c r="A61" s="224" t="s">
        <v>364</v>
      </c>
      <c r="B61" s="224"/>
      <c r="C61" s="224"/>
      <c r="D61" s="224"/>
      <c r="E61" s="224"/>
      <c r="F61" s="224"/>
      <c r="G61" s="12">
        <v>54</v>
      </c>
      <c r="H61" s="48">
        <f>H14+H48+H58+H59</f>
        <v>25864202.710000001</v>
      </c>
      <c r="I61" s="48">
        <f t="shared" ref="I61:K61" si="1">I14+I48+I58+I59</f>
        <v>4638189</v>
      </c>
      <c r="J61" s="48">
        <f t="shared" si="1"/>
        <v>19531817</v>
      </c>
      <c r="K61" s="48">
        <f t="shared" si="1"/>
        <v>4905448</v>
      </c>
    </row>
    <row r="62" spans="1:11" ht="12.75" customHeight="1" x14ac:dyDescent="0.2">
      <c r="A62" s="224" t="s">
        <v>365</v>
      </c>
      <c r="B62" s="224"/>
      <c r="C62" s="224"/>
      <c r="D62" s="224"/>
      <c r="E62" s="224"/>
      <c r="F62" s="224"/>
      <c r="G62" s="12">
        <v>55</v>
      </c>
      <c r="H62" s="48">
        <f>H60-H61</f>
        <v>3850451.1899999976</v>
      </c>
      <c r="I62" s="48">
        <f t="shared" ref="I62:K62" si="2">I60-I61</f>
        <v>1334142</v>
      </c>
      <c r="J62" s="48">
        <f t="shared" si="2"/>
        <v>716499</v>
      </c>
      <c r="K62" s="48">
        <f t="shared" si="2"/>
        <v>160909</v>
      </c>
    </row>
    <row r="63" spans="1:11" ht="12.75" customHeight="1" x14ac:dyDescent="0.2">
      <c r="A63" s="229" t="s">
        <v>366</v>
      </c>
      <c r="B63" s="229"/>
      <c r="C63" s="229"/>
      <c r="D63" s="229"/>
      <c r="E63" s="229"/>
      <c r="F63" s="229"/>
      <c r="G63" s="12">
        <v>56</v>
      </c>
      <c r="H63" s="48">
        <f>+IF((H60-H61)&gt;0,(H60-H61),0)</f>
        <v>3850451.1899999976</v>
      </c>
      <c r="I63" s="48">
        <f t="shared" ref="I63:K63" si="3">+IF((I60-I61)&gt;0,(I60-I61),0)</f>
        <v>1334142</v>
      </c>
      <c r="J63" s="48">
        <f t="shared" si="3"/>
        <v>716499</v>
      </c>
      <c r="K63" s="48">
        <f t="shared" si="3"/>
        <v>160909</v>
      </c>
    </row>
    <row r="64" spans="1:11" ht="12.75" customHeight="1" x14ac:dyDescent="0.2">
      <c r="A64" s="229" t="s">
        <v>367</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
      <c r="A65" s="230" t="s">
        <v>111</v>
      </c>
      <c r="B65" s="230"/>
      <c r="C65" s="230"/>
      <c r="D65" s="230"/>
      <c r="E65" s="230"/>
      <c r="F65" s="230"/>
      <c r="G65" s="11">
        <v>58</v>
      </c>
      <c r="H65" s="49">
        <v>-1134843.05</v>
      </c>
      <c r="I65" s="49">
        <v>-945125</v>
      </c>
      <c r="J65" s="49">
        <v>-130805</v>
      </c>
      <c r="K65" s="49">
        <v>-130805</v>
      </c>
    </row>
    <row r="66" spans="1:11" ht="12.75" customHeight="1" x14ac:dyDescent="0.2">
      <c r="A66" s="224" t="s">
        <v>368</v>
      </c>
      <c r="B66" s="224"/>
      <c r="C66" s="224"/>
      <c r="D66" s="224"/>
      <c r="E66" s="224"/>
      <c r="F66" s="224"/>
      <c r="G66" s="12">
        <v>59</v>
      </c>
      <c r="H66" s="48">
        <f>H62-H65</f>
        <v>4985294.2399999974</v>
      </c>
      <c r="I66" s="48">
        <f t="shared" ref="I66:K66" si="5">I62-I65</f>
        <v>2279267</v>
      </c>
      <c r="J66" s="48">
        <f t="shared" si="5"/>
        <v>847304</v>
      </c>
      <c r="K66" s="48">
        <f t="shared" si="5"/>
        <v>291714</v>
      </c>
    </row>
    <row r="67" spans="1:11" ht="12.75" customHeight="1" x14ac:dyDescent="0.2">
      <c r="A67" s="229" t="s">
        <v>369</v>
      </c>
      <c r="B67" s="229"/>
      <c r="C67" s="229"/>
      <c r="D67" s="229"/>
      <c r="E67" s="229"/>
      <c r="F67" s="229"/>
      <c r="G67" s="12">
        <v>60</v>
      </c>
      <c r="H67" s="48">
        <f>+IF((H62-H65)&gt;0,(H62-H65),0)</f>
        <v>4985294.2399999974</v>
      </c>
      <c r="I67" s="48">
        <f t="shared" ref="I67:K67" si="6">+IF((I62-I65)&gt;0,(I62-I65),0)</f>
        <v>2279267</v>
      </c>
      <c r="J67" s="48">
        <f t="shared" si="6"/>
        <v>847304</v>
      </c>
      <c r="K67" s="48">
        <f t="shared" si="6"/>
        <v>291714</v>
      </c>
    </row>
    <row r="68" spans="1:11" ht="12.75" customHeight="1" x14ac:dyDescent="0.2">
      <c r="A68" s="229" t="s">
        <v>370</v>
      </c>
      <c r="B68" s="229"/>
      <c r="C68" s="229"/>
      <c r="D68" s="229"/>
      <c r="E68" s="229"/>
      <c r="F68" s="229"/>
      <c r="G68" s="12">
        <v>61</v>
      </c>
      <c r="H68" s="48">
        <f>+IF((H62-H65)&lt;0,(H62-H65),0)</f>
        <v>0</v>
      </c>
      <c r="I68" s="48">
        <f t="shared" ref="I68:K68" si="7">+IF((I62-I65)&lt;0,(I62-I65),0)</f>
        <v>0</v>
      </c>
      <c r="J68" s="48">
        <f t="shared" si="7"/>
        <v>0</v>
      </c>
      <c r="K68" s="48">
        <f t="shared" si="7"/>
        <v>0</v>
      </c>
    </row>
    <row r="69" spans="1:11" x14ac:dyDescent="0.2">
      <c r="A69" s="231" t="s">
        <v>152</v>
      </c>
      <c r="B69" s="231"/>
      <c r="C69" s="231"/>
      <c r="D69" s="231"/>
      <c r="E69" s="231"/>
      <c r="F69" s="231"/>
      <c r="G69" s="232"/>
      <c r="H69" s="232"/>
      <c r="I69" s="232"/>
      <c r="J69" s="233"/>
      <c r="K69" s="233"/>
    </row>
    <row r="70" spans="1:11" ht="22.15" customHeight="1" x14ac:dyDescent="0.2">
      <c r="A70" s="224" t="s">
        <v>371</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372</v>
      </c>
      <c r="B74" s="229"/>
      <c r="C74" s="229"/>
      <c r="D74" s="229"/>
      <c r="E74" s="229"/>
      <c r="F74" s="229"/>
      <c r="G74" s="12">
        <v>66</v>
      </c>
      <c r="H74" s="71"/>
      <c r="I74" s="71"/>
      <c r="J74" s="71"/>
      <c r="K74" s="71"/>
    </row>
    <row r="75" spans="1:11" ht="12.75" customHeight="1" x14ac:dyDescent="0.2">
      <c r="A75" s="229" t="s">
        <v>373</v>
      </c>
      <c r="B75" s="229"/>
      <c r="C75" s="229"/>
      <c r="D75" s="229"/>
      <c r="E75" s="229"/>
      <c r="F75" s="229"/>
      <c r="G75" s="12">
        <v>67</v>
      </c>
      <c r="H75" s="71"/>
      <c r="I75" s="71"/>
      <c r="J75" s="71"/>
      <c r="K75" s="71"/>
    </row>
    <row r="76" spans="1:11" x14ac:dyDescent="0.2">
      <c r="A76" s="231" t="s">
        <v>156</v>
      </c>
      <c r="B76" s="231"/>
      <c r="C76" s="231"/>
      <c r="D76" s="231"/>
      <c r="E76" s="231"/>
      <c r="F76" s="231"/>
      <c r="G76" s="232"/>
      <c r="H76" s="232"/>
      <c r="I76" s="232"/>
      <c r="J76" s="233"/>
      <c r="K76" s="233"/>
    </row>
    <row r="77" spans="1:11" ht="12.75" customHeight="1" x14ac:dyDescent="0.2">
      <c r="A77" s="224" t="s">
        <v>374</v>
      </c>
      <c r="B77" s="224"/>
      <c r="C77" s="224"/>
      <c r="D77" s="224"/>
      <c r="E77" s="224"/>
      <c r="F77" s="224"/>
      <c r="G77" s="12">
        <v>68</v>
      </c>
      <c r="H77" s="71"/>
      <c r="I77" s="71"/>
      <c r="J77" s="71"/>
      <c r="K77" s="71"/>
    </row>
    <row r="78" spans="1:11" ht="12.75" customHeight="1" x14ac:dyDescent="0.2">
      <c r="A78" s="234" t="s">
        <v>375</v>
      </c>
      <c r="B78" s="234"/>
      <c r="C78" s="234"/>
      <c r="D78" s="234"/>
      <c r="E78" s="234"/>
      <c r="F78" s="234"/>
      <c r="G78" s="42">
        <v>69</v>
      </c>
      <c r="H78" s="50">
        <v>0</v>
      </c>
      <c r="I78" s="50">
        <v>0</v>
      </c>
      <c r="J78" s="50">
        <v>0</v>
      </c>
      <c r="K78" s="50">
        <v>0</v>
      </c>
    </row>
    <row r="79" spans="1:11" ht="12.75" customHeight="1" x14ac:dyDescent="0.2">
      <c r="A79" s="234" t="s">
        <v>376</v>
      </c>
      <c r="B79" s="234"/>
      <c r="C79" s="234"/>
      <c r="D79" s="234"/>
      <c r="E79" s="234"/>
      <c r="F79" s="234"/>
      <c r="G79" s="42">
        <v>70</v>
      </c>
      <c r="H79" s="50">
        <v>0</v>
      </c>
      <c r="I79" s="50">
        <v>0</v>
      </c>
      <c r="J79" s="50">
        <v>0</v>
      </c>
      <c r="K79" s="50">
        <v>0</v>
      </c>
    </row>
    <row r="80" spans="1:11" ht="12.75" customHeight="1" x14ac:dyDescent="0.2">
      <c r="A80" s="224" t="s">
        <v>377</v>
      </c>
      <c r="B80" s="224"/>
      <c r="C80" s="224"/>
      <c r="D80" s="224"/>
      <c r="E80" s="224"/>
      <c r="F80" s="224"/>
      <c r="G80" s="12">
        <v>71</v>
      </c>
      <c r="H80" s="71"/>
      <c r="I80" s="71"/>
      <c r="J80" s="71"/>
      <c r="K80" s="71"/>
    </row>
    <row r="81" spans="1:11" ht="12.75" customHeight="1" x14ac:dyDescent="0.2">
      <c r="A81" s="224" t="s">
        <v>378</v>
      </c>
      <c r="B81" s="224"/>
      <c r="C81" s="224"/>
      <c r="D81" s="224"/>
      <c r="E81" s="224"/>
      <c r="F81" s="224"/>
      <c r="G81" s="12">
        <v>72</v>
      </c>
      <c r="H81" s="71"/>
      <c r="I81" s="71"/>
      <c r="J81" s="71"/>
      <c r="K81" s="71"/>
    </row>
    <row r="82" spans="1:11" ht="12.75" customHeight="1" x14ac:dyDescent="0.2">
      <c r="A82" s="229" t="s">
        <v>379</v>
      </c>
      <c r="B82" s="229"/>
      <c r="C82" s="229"/>
      <c r="D82" s="229"/>
      <c r="E82" s="229"/>
      <c r="F82" s="229"/>
      <c r="G82" s="12">
        <v>73</v>
      </c>
      <c r="H82" s="71"/>
      <c r="I82" s="71"/>
      <c r="J82" s="71"/>
      <c r="K82" s="71"/>
    </row>
    <row r="83" spans="1:11" ht="12.75" customHeight="1" x14ac:dyDescent="0.2">
      <c r="A83" s="229" t="s">
        <v>380</v>
      </c>
      <c r="B83" s="229"/>
      <c r="C83" s="229"/>
      <c r="D83" s="229"/>
      <c r="E83" s="229"/>
      <c r="F83" s="229"/>
      <c r="G83" s="12">
        <v>74</v>
      </c>
      <c r="H83" s="71"/>
      <c r="I83" s="71"/>
      <c r="J83" s="71"/>
      <c r="K83" s="71"/>
    </row>
    <row r="84" spans="1:11" x14ac:dyDescent="0.2">
      <c r="A84" s="231" t="s">
        <v>112</v>
      </c>
      <c r="B84" s="231"/>
      <c r="C84" s="231"/>
      <c r="D84" s="231"/>
      <c r="E84" s="231"/>
      <c r="F84" s="231"/>
      <c r="G84" s="232"/>
      <c r="H84" s="232"/>
      <c r="I84" s="232"/>
      <c r="J84" s="233"/>
      <c r="K84" s="233"/>
    </row>
    <row r="85" spans="1:11" ht="12.75" customHeight="1" x14ac:dyDescent="0.2">
      <c r="A85" s="235" t="s">
        <v>381</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v>0</v>
      </c>
      <c r="I86" s="52">
        <v>0</v>
      </c>
      <c r="J86" s="52">
        <v>0</v>
      </c>
      <c r="K86" s="52">
        <v>0</v>
      </c>
    </row>
    <row r="87" spans="1:11" ht="12.75" customHeight="1" x14ac:dyDescent="0.2">
      <c r="A87" s="236" t="s">
        <v>158</v>
      </c>
      <c r="B87" s="236"/>
      <c r="C87" s="236"/>
      <c r="D87" s="236"/>
      <c r="E87" s="236"/>
      <c r="F87" s="236"/>
      <c r="G87" s="11">
        <v>77</v>
      </c>
      <c r="H87" s="52">
        <v>0</v>
      </c>
      <c r="I87" s="52">
        <v>0</v>
      </c>
      <c r="J87" s="52">
        <v>0</v>
      </c>
      <c r="K87" s="52">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0</v>
      </c>
      <c r="I89" s="52">
        <v>0</v>
      </c>
      <c r="J89" s="52">
        <v>0</v>
      </c>
      <c r="K89" s="52">
        <v>0</v>
      </c>
    </row>
    <row r="90" spans="1:11" ht="24" customHeight="1" x14ac:dyDescent="0.2">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
      <c r="A91" s="239" t="s">
        <v>444</v>
      </c>
      <c r="B91" s="239"/>
      <c r="C91" s="239"/>
      <c r="D91" s="239"/>
      <c r="E91" s="239"/>
      <c r="F91" s="239"/>
      <c r="G91" s="12">
        <v>80</v>
      </c>
      <c r="H91" s="69">
        <f>SUM(H92:H96)</f>
        <v>0</v>
      </c>
      <c r="I91" s="69">
        <f>SUM(I92:I96)</f>
        <v>0</v>
      </c>
      <c r="J91" s="69">
        <f t="shared" ref="J91:K91" si="9">SUM(J92:J96)</f>
        <v>0</v>
      </c>
      <c r="K91" s="69">
        <f t="shared" si="9"/>
        <v>0</v>
      </c>
    </row>
    <row r="92" spans="1:11" ht="25.5" customHeight="1" x14ac:dyDescent="0.2">
      <c r="A92" s="228" t="s">
        <v>382</v>
      </c>
      <c r="B92" s="228"/>
      <c r="C92" s="228"/>
      <c r="D92" s="228"/>
      <c r="E92" s="228"/>
      <c r="F92" s="228"/>
      <c r="G92" s="12">
        <v>81</v>
      </c>
      <c r="H92" s="52">
        <v>0</v>
      </c>
      <c r="I92" s="52">
        <v>0</v>
      </c>
      <c r="J92" s="52">
        <v>0</v>
      </c>
      <c r="K92" s="52">
        <v>0</v>
      </c>
    </row>
    <row r="93" spans="1:11" ht="38.25" customHeight="1" x14ac:dyDescent="0.2">
      <c r="A93" s="228" t="s">
        <v>383</v>
      </c>
      <c r="B93" s="228"/>
      <c r="C93" s="228"/>
      <c r="D93" s="228"/>
      <c r="E93" s="228"/>
      <c r="F93" s="228"/>
      <c r="G93" s="12">
        <v>82</v>
      </c>
      <c r="H93" s="52">
        <v>0</v>
      </c>
      <c r="I93" s="52">
        <v>0</v>
      </c>
      <c r="J93" s="52">
        <v>0</v>
      </c>
      <c r="K93" s="52">
        <v>0</v>
      </c>
    </row>
    <row r="94" spans="1:11" ht="38.25" customHeight="1" x14ac:dyDescent="0.2">
      <c r="A94" s="228" t="s">
        <v>384</v>
      </c>
      <c r="B94" s="228"/>
      <c r="C94" s="228"/>
      <c r="D94" s="228"/>
      <c r="E94" s="228"/>
      <c r="F94" s="228"/>
      <c r="G94" s="12">
        <v>83</v>
      </c>
      <c r="H94" s="52">
        <v>0</v>
      </c>
      <c r="I94" s="52">
        <v>0</v>
      </c>
      <c r="J94" s="52">
        <v>0</v>
      </c>
      <c r="K94" s="52">
        <v>0</v>
      </c>
    </row>
    <row r="95" spans="1:11" x14ac:dyDescent="0.2">
      <c r="A95" s="228" t="s">
        <v>385</v>
      </c>
      <c r="B95" s="228"/>
      <c r="C95" s="228"/>
      <c r="D95" s="228"/>
      <c r="E95" s="228"/>
      <c r="F95" s="228"/>
      <c r="G95" s="12">
        <v>84</v>
      </c>
      <c r="H95" s="52">
        <v>0</v>
      </c>
      <c r="I95" s="52">
        <v>0</v>
      </c>
      <c r="J95" s="52">
        <v>0</v>
      </c>
      <c r="K95" s="52">
        <v>0</v>
      </c>
    </row>
    <row r="96" spans="1:11" x14ac:dyDescent="0.2">
      <c r="A96" s="228" t="s">
        <v>386</v>
      </c>
      <c r="B96" s="228"/>
      <c r="C96" s="228"/>
      <c r="D96" s="228"/>
      <c r="E96" s="228"/>
      <c r="F96" s="228"/>
      <c r="G96" s="12">
        <v>85</v>
      </c>
      <c r="H96" s="52">
        <v>0</v>
      </c>
      <c r="I96" s="52">
        <v>0</v>
      </c>
      <c r="J96" s="52">
        <v>0</v>
      </c>
      <c r="K96" s="52">
        <v>0</v>
      </c>
    </row>
    <row r="97" spans="1:11" ht="26.25" customHeight="1" x14ac:dyDescent="0.2">
      <c r="A97" s="228" t="s">
        <v>387</v>
      </c>
      <c r="B97" s="228"/>
      <c r="C97" s="228"/>
      <c r="D97" s="228"/>
      <c r="E97" s="228"/>
      <c r="F97" s="228"/>
      <c r="G97" s="12">
        <v>86</v>
      </c>
      <c r="H97" s="52">
        <v>0</v>
      </c>
      <c r="I97" s="52">
        <v>0</v>
      </c>
      <c r="J97" s="52">
        <v>0</v>
      </c>
      <c r="K97" s="52">
        <v>0</v>
      </c>
    </row>
    <row r="98" spans="1:11" ht="25.5" customHeight="1" x14ac:dyDescent="0.2">
      <c r="A98" s="239" t="s">
        <v>438</v>
      </c>
      <c r="B98" s="239"/>
      <c r="C98" s="239"/>
      <c r="D98" s="239"/>
      <c r="E98" s="239"/>
      <c r="F98" s="239"/>
      <c r="G98" s="12">
        <v>87</v>
      </c>
      <c r="H98" s="69">
        <f>SUM(H99:H106)</f>
        <v>0</v>
      </c>
      <c r="I98" s="69">
        <f>SUM(I99:I106)</f>
        <v>0</v>
      </c>
      <c r="J98" s="69">
        <f t="shared" ref="J98:K98" si="10">SUM(J99:J106)</f>
        <v>0</v>
      </c>
      <c r="K98" s="69">
        <f t="shared" si="10"/>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388</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389</v>
      </c>
      <c r="B104" s="228"/>
      <c r="C104" s="228"/>
      <c r="D104" s="228"/>
      <c r="E104" s="228"/>
      <c r="F104" s="228"/>
      <c r="G104" s="11">
        <v>93</v>
      </c>
      <c r="H104" s="52">
        <v>0</v>
      </c>
      <c r="I104" s="52">
        <v>0</v>
      </c>
      <c r="J104" s="52">
        <v>0</v>
      </c>
      <c r="K104" s="52">
        <v>0</v>
      </c>
    </row>
    <row r="105" spans="1:11" ht="26.25" customHeight="1" x14ac:dyDescent="0.2">
      <c r="A105" s="228" t="s">
        <v>390</v>
      </c>
      <c r="B105" s="228"/>
      <c r="C105" s="228"/>
      <c r="D105" s="228"/>
      <c r="E105" s="228"/>
      <c r="F105" s="228"/>
      <c r="G105" s="11">
        <v>94</v>
      </c>
      <c r="H105" s="52">
        <v>0</v>
      </c>
      <c r="I105" s="52">
        <v>0</v>
      </c>
      <c r="J105" s="52">
        <v>0</v>
      </c>
      <c r="K105" s="52">
        <v>0</v>
      </c>
    </row>
    <row r="106" spans="1:11" x14ac:dyDescent="0.2">
      <c r="A106" s="228" t="s">
        <v>391</v>
      </c>
      <c r="B106" s="228"/>
      <c r="C106" s="228"/>
      <c r="D106" s="228"/>
      <c r="E106" s="228"/>
      <c r="F106" s="228"/>
      <c r="G106" s="11">
        <v>95</v>
      </c>
      <c r="H106" s="52">
        <v>0</v>
      </c>
      <c r="I106" s="52">
        <v>0</v>
      </c>
      <c r="J106" s="52">
        <v>0</v>
      </c>
      <c r="K106" s="52">
        <v>0</v>
      </c>
    </row>
    <row r="107" spans="1:11" ht="24.75" customHeight="1" x14ac:dyDescent="0.2">
      <c r="A107" s="228" t="s">
        <v>392</v>
      </c>
      <c r="B107" s="228"/>
      <c r="C107" s="228"/>
      <c r="D107" s="228"/>
      <c r="E107" s="228"/>
      <c r="F107" s="228"/>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393</v>
      </c>
      <c r="B109" s="192"/>
      <c r="C109" s="192"/>
      <c r="D109" s="192"/>
      <c r="E109" s="192"/>
      <c r="F109" s="192"/>
      <c r="G109" s="12">
        <v>98</v>
      </c>
      <c r="H109" s="51">
        <f>H89+H108</f>
        <v>0</v>
      </c>
      <c r="I109" s="51">
        <f>I89+I108</f>
        <v>0</v>
      </c>
      <c r="J109" s="51">
        <f t="shared" ref="J109:K109" si="12">J89+J108</f>
        <v>0</v>
      </c>
      <c r="K109" s="51">
        <f t="shared" si="12"/>
        <v>0</v>
      </c>
    </row>
    <row r="110" spans="1:11" x14ac:dyDescent="0.2">
      <c r="A110" s="231" t="s">
        <v>164</v>
      </c>
      <c r="B110" s="231"/>
      <c r="C110" s="231"/>
      <c r="D110" s="231"/>
      <c r="E110" s="231"/>
      <c r="F110" s="231"/>
      <c r="G110" s="232"/>
      <c r="H110" s="232"/>
      <c r="I110" s="232"/>
      <c r="J110" s="233"/>
      <c r="K110" s="233"/>
    </row>
    <row r="111" spans="1:11" ht="12.75" customHeight="1" x14ac:dyDescent="0.2">
      <c r="A111" s="235" t="s">
        <v>394</v>
      </c>
      <c r="B111" s="235"/>
      <c r="C111" s="235"/>
      <c r="D111" s="235"/>
      <c r="E111" s="235"/>
      <c r="F111" s="235"/>
      <c r="G111" s="12">
        <v>99</v>
      </c>
      <c r="H111" s="51">
        <f>H112+H113</f>
        <v>0</v>
      </c>
      <c r="I111" s="51">
        <f>I112+I113</f>
        <v>0</v>
      </c>
      <c r="J111" s="51">
        <f>J112+J113</f>
        <v>0</v>
      </c>
      <c r="K111" s="51">
        <f>K112+K113</f>
        <v>0</v>
      </c>
    </row>
    <row r="112" spans="1:11" ht="12.75" customHeight="1" x14ac:dyDescent="0.2">
      <c r="A112" s="236" t="s">
        <v>113</v>
      </c>
      <c r="B112" s="236"/>
      <c r="C112" s="236"/>
      <c r="D112" s="236"/>
      <c r="E112" s="236"/>
      <c r="F112" s="236"/>
      <c r="G112" s="11">
        <v>100</v>
      </c>
      <c r="H112" s="52">
        <v>0</v>
      </c>
      <c r="I112" s="52">
        <v>0</v>
      </c>
      <c r="J112" s="52">
        <v>0</v>
      </c>
      <c r="K112" s="52">
        <v>0</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39" zoomScale="90" zoomScaleNormal="100" zoomScaleSheetLayoutView="90" workbookViewId="0">
      <selection activeCell="I38" sqref="I3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ht="12.75" customHeight="1" x14ac:dyDescent="0.2">
      <c r="A2" s="212" t="s">
        <v>462</v>
      </c>
      <c r="B2" s="213"/>
      <c r="C2" s="213"/>
      <c r="D2" s="213"/>
      <c r="E2" s="213"/>
      <c r="F2" s="213"/>
      <c r="G2" s="213"/>
      <c r="H2" s="213"/>
      <c r="I2" s="213"/>
    </row>
    <row r="3" spans="1:9" x14ac:dyDescent="0.2">
      <c r="A3" s="244" t="s">
        <v>448</v>
      </c>
      <c r="B3" s="245"/>
      <c r="C3" s="245"/>
      <c r="D3" s="245"/>
      <c r="E3" s="245"/>
      <c r="F3" s="245"/>
      <c r="G3" s="245"/>
      <c r="H3" s="245"/>
      <c r="I3" s="245"/>
    </row>
    <row r="4" spans="1:9" x14ac:dyDescent="0.2">
      <c r="A4" s="243" t="str">
        <f>Bilanca!A4</f>
        <v>Obveznik: INSTITUT IGH d.d.</v>
      </c>
      <c r="B4" s="199"/>
      <c r="C4" s="199"/>
      <c r="D4" s="199"/>
      <c r="E4" s="199"/>
      <c r="F4" s="199"/>
      <c r="G4" s="199"/>
      <c r="H4" s="199"/>
      <c r="I4" s="200"/>
    </row>
    <row r="5" spans="1:9" ht="23.25" x14ac:dyDescent="0.2">
      <c r="A5" s="248" t="s">
        <v>2</v>
      </c>
      <c r="B5" s="204"/>
      <c r="C5" s="204"/>
      <c r="D5" s="204"/>
      <c r="E5" s="204"/>
      <c r="F5" s="204"/>
      <c r="G5" s="60" t="s">
        <v>103</v>
      </c>
      <c r="H5" s="61" t="s">
        <v>301</v>
      </c>
      <c r="I5" s="61" t="s">
        <v>279</v>
      </c>
    </row>
    <row r="6" spans="1:9" x14ac:dyDescent="0.2">
      <c r="A6" s="249">
        <v>1</v>
      </c>
      <c r="B6" s="204"/>
      <c r="C6" s="204"/>
      <c r="D6" s="204"/>
      <c r="E6" s="204"/>
      <c r="F6" s="204"/>
      <c r="G6" s="62">
        <v>2</v>
      </c>
      <c r="H6" s="61" t="s">
        <v>167</v>
      </c>
      <c r="I6" s="61" t="s">
        <v>168</v>
      </c>
    </row>
    <row r="7" spans="1:9" x14ac:dyDescent="0.2">
      <c r="A7" s="250" t="s">
        <v>169</v>
      </c>
      <c r="B7" s="250"/>
      <c r="C7" s="250"/>
      <c r="D7" s="250"/>
      <c r="E7" s="250"/>
      <c r="F7" s="250"/>
      <c r="G7" s="250"/>
      <c r="H7" s="250"/>
      <c r="I7" s="250"/>
    </row>
    <row r="8" spans="1:9" ht="12.75" customHeight="1" x14ac:dyDescent="0.2">
      <c r="A8" s="190" t="s">
        <v>170</v>
      </c>
      <c r="B8" s="190"/>
      <c r="C8" s="190"/>
      <c r="D8" s="190"/>
      <c r="E8" s="190"/>
      <c r="F8" s="190"/>
      <c r="G8" s="63">
        <v>1</v>
      </c>
      <c r="H8" s="64">
        <v>3850451</v>
      </c>
      <c r="I8" s="64">
        <f>RDG!J62</f>
        <v>716499</v>
      </c>
    </row>
    <row r="9" spans="1:9" ht="12.75" customHeight="1" x14ac:dyDescent="0.2">
      <c r="A9" s="247" t="s">
        <v>171</v>
      </c>
      <c r="B9" s="247"/>
      <c r="C9" s="247"/>
      <c r="D9" s="247"/>
      <c r="E9" s="247"/>
      <c r="F9" s="247"/>
      <c r="G9" s="65">
        <v>2</v>
      </c>
      <c r="H9" s="66">
        <f>H10+H11+H12+H13+H14+H15+H16+H17</f>
        <v>6847931</v>
      </c>
      <c r="I9" s="66">
        <f>I10+I11+I12+I13+I14+I15+I16+I17</f>
        <v>3135044</v>
      </c>
    </row>
    <row r="10" spans="1:9" ht="12.75" customHeight="1" x14ac:dyDescent="0.2">
      <c r="A10" s="225" t="s">
        <v>172</v>
      </c>
      <c r="B10" s="225"/>
      <c r="C10" s="225"/>
      <c r="D10" s="225"/>
      <c r="E10" s="225"/>
      <c r="F10" s="225"/>
      <c r="G10" s="63">
        <v>3</v>
      </c>
      <c r="H10" s="64">
        <v>2230482</v>
      </c>
      <c r="I10" s="64">
        <f>RDG!J24</f>
        <v>2071370</v>
      </c>
    </row>
    <row r="11" spans="1:9" ht="22.15" customHeight="1" x14ac:dyDescent="0.2">
      <c r="A11" s="225" t="s">
        <v>173</v>
      </c>
      <c r="B11" s="225"/>
      <c r="C11" s="225"/>
      <c r="D11" s="225"/>
      <c r="E11" s="225"/>
      <c r="F11" s="225"/>
      <c r="G11" s="63">
        <v>4</v>
      </c>
      <c r="H11" s="64">
        <v>302754</v>
      </c>
      <c r="I11" s="64">
        <v>0</v>
      </c>
    </row>
    <row r="12" spans="1:9" ht="23.45" customHeight="1" x14ac:dyDescent="0.2">
      <c r="A12" s="225" t="s">
        <v>174</v>
      </c>
      <c r="B12" s="225"/>
      <c r="C12" s="225"/>
      <c r="D12" s="225"/>
      <c r="E12" s="225"/>
      <c r="F12" s="225"/>
      <c r="G12" s="63">
        <v>5</v>
      </c>
      <c r="H12" s="64">
        <v>-1881</v>
      </c>
      <c r="I12" s="64">
        <v>0</v>
      </c>
    </row>
    <row r="13" spans="1:9" ht="12.75" customHeight="1" x14ac:dyDescent="0.2">
      <c r="A13" s="225" t="s">
        <v>175</v>
      </c>
      <c r="B13" s="225"/>
      <c r="C13" s="225"/>
      <c r="D13" s="225"/>
      <c r="E13" s="225"/>
      <c r="F13" s="225"/>
      <c r="G13" s="63">
        <v>6</v>
      </c>
      <c r="H13" s="64">
        <v>673744</v>
      </c>
      <c r="I13" s="64">
        <f>RDG!J44</f>
        <v>757</v>
      </c>
    </row>
    <row r="14" spans="1:9" ht="12.75" customHeight="1" x14ac:dyDescent="0.2">
      <c r="A14" s="225" t="s">
        <v>176</v>
      </c>
      <c r="B14" s="225"/>
      <c r="C14" s="225"/>
      <c r="D14" s="225"/>
      <c r="E14" s="225"/>
      <c r="F14" s="225"/>
      <c r="G14" s="63">
        <v>7</v>
      </c>
      <c r="H14" s="64">
        <v>-453835</v>
      </c>
      <c r="I14" s="64">
        <f>RDG!J51</f>
        <v>226185</v>
      </c>
    </row>
    <row r="15" spans="1:9" ht="12.75" customHeight="1" x14ac:dyDescent="0.2">
      <c r="A15" s="225" t="s">
        <v>177</v>
      </c>
      <c r="B15" s="225"/>
      <c r="C15" s="225"/>
      <c r="D15" s="225"/>
      <c r="E15" s="225"/>
      <c r="F15" s="225"/>
      <c r="G15" s="63">
        <v>8</v>
      </c>
      <c r="H15" s="64">
        <v>0</v>
      </c>
      <c r="I15" s="64">
        <v>0</v>
      </c>
    </row>
    <row r="16" spans="1:9" ht="12.75" customHeight="1" x14ac:dyDescent="0.2">
      <c r="A16" s="225" t="s">
        <v>178</v>
      </c>
      <c r="B16" s="225"/>
      <c r="C16" s="225"/>
      <c r="D16" s="225"/>
      <c r="E16" s="225"/>
      <c r="F16" s="225"/>
      <c r="G16" s="63">
        <v>9</v>
      </c>
      <c r="H16" s="64">
        <v>0</v>
      </c>
      <c r="I16" s="64">
        <v>0</v>
      </c>
    </row>
    <row r="17" spans="1:9" ht="25.15" customHeight="1" x14ac:dyDescent="0.2">
      <c r="A17" s="225" t="s">
        <v>179</v>
      </c>
      <c r="B17" s="225"/>
      <c r="C17" s="225"/>
      <c r="D17" s="225"/>
      <c r="E17" s="225"/>
      <c r="F17" s="225"/>
      <c r="G17" s="63">
        <v>10</v>
      </c>
      <c r="H17" s="64">
        <f>4096834-167</f>
        <v>4096667</v>
      </c>
      <c r="I17" s="64">
        <f>1068984-5310-I13-I14</f>
        <v>836732</v>
      </c>
    </row>
    <row r="18" spans="1:9" ht="28.15" customHeight="1" x14ac:dyDescent="0.2">
      <c r="A18" s="246" t="s">
        <v>306</v>
      </c>
      <c r="B18" s="246"/>
      <c r="C18" s="246"/>
      <c r="D18" s="246"/>
      <c r="E18" s="246"/>
      <c r="F18" s="246"/>
      <c r="G18" s="65">
        <v>11</v>
      </c>
      <c r="H18" s="66">
        <f>H8+H9</f>
        <v>10698382</v>
      </c>
      <c r="I18" s="66">
        <f>I8+I9</f>
        <v>3851543</v>
      </c>
    </row>
    <row r="19" spans="1:9" ht="12.75" customHeight="1" x14ac:dyDescent="0.2">
      <c r="A19" s="247" t="s">
        <v>180</v>
      </c>
      <c r="B19" s="247"/>
      <c r="C19" s="247"/>
      <c r="D19" s="247"/>
      <c r="E19" s="247"/>
      <c r="F19" s="247"/>
      <c r="G19" s="65">
        <v>12</v>
      </c>
      <c r="H19" s="66">
        <f>H20+H21+H22+H23</f>
        <v>-9763119</v>
      </c>
      <c r="I19" s="66">
        <f>I20+I21+I22+I23</f>
        <v>-5360281</v>
      </c>
    </row>
    <row r="20" spans="1:9" ht="12.75" customHeight="1" x14ac:dyDescent="0.2">
      <c r="A20" s="225" t="s">
        <v>181</v>
      </c>
      <c r="B20" s="225"/>
      <c r="C20" s="225"/>
      <c r="D20" s="225"/>
      <c r="E20" s="225"/>
      <c r="F20" s="225"/>
      <c r="G20" s="63">
        <v>13</v>
      </c>
      <c r="H20" s="64">
        <v>-11553651</v>
      </c>
      <c r="I20" s="64">
        <v>-45020</v>
      </c>
    </row>
    <row r="21" spans="1:9" ht="12.75" customHeight="1" x14ac:dyDescent="0.2">
      <c r="A21" s="225" t="s">
        <v>182</v>
      </c>
      <c r="B21" s="225"/>
      <c r="C21" s="225"/>
      <c r="D21" s="225"/>
      <c r="E21" s="225"/>
      <c r="F21" s="225"/>
      <c r="G21" s="63">
        <v>14</v>
      </c>
      <c r="H21" s="64">
        <v>1855007</v>
      </c>
      <c r="I21" s="64">
        <v>-29584</v>
      </c>
    </row>
    <row r="22" spans="1:9" ht="12.75" customHeight="1" x14ac:dyDescent="0.2">
      <c r="A22" s="225" t="s">
        <v>183</v>
      </c>
      <c r="B22" s="225"/>
      <c r="C22" s="225"/>
      <c r="D22" s="225"/>
      <c r="E22" s="225"/>
      <c r="F22" s="225"/>
      <c r="G22" s="63">
        <v>15</v>
      </c>
      <c r="H22" s="64">
        <v>0</v>
      </c>
      <c r="I22" s="64">
        <v>0</v>
      </c>
    </row>
    <row r="23" spans="1:9" ht="12.75" customHeight="1" x14ac:dyDescent="0.2">
      <c r="A23" s="225" t="s">
        <v>184</v>
      </c>
      <c r="B23" s="225"/>
      <c r="C23" s="225"/>
      <c r="D23" s="225"/>
      <c r="E23" s="225"/>
      <c r="F23" s="225"/>
      <c r="G23" s="63">
        <v>16</v>
      </c>
      <c r="H23" s="64">
        <v>-64475</v>
      </c>
      <c r="I23" s="64">
        <f>-242630-5043047</f>
        <v>-5285677</v>
      </c>
    </row>
    <row r="24" spans="1:9" ht="12.75" customHeight="1" x14ac:dyDescent="0.2">
      <c r="A24" s="246" t="s">
        <v>185</v>
      </c>
      <c r="B24" s="246"/>
      <c r="C24" s="246"/>
      <c r="D24" s="246"/>
      <c r="E24" s="246"/>
      <c r="F24" s="246"/>
      <c r="G24" s="65">
        <v>17</v>
      </c>
      <c r="H24" s="66">
        <f>H18+H19</f>
        <v>935263</v>
      </c>
      <c r="I24" s="66">
        <f>I18+I19</f>
        <v>-1508738</v>
      </c>
    </row>
    <row r="25" spans="1:9" ht="12.75" customHeight="1" x14ac:dyDescent="0.2">
      <c r="A25" s="190" t="s">
        <v>186</v>
      </c>
      <c r="B25" s="190"/>
      <c r="C25" s="190"/>
      <c r="D25" s="190"/>
      <c r="E25" s="190"/>
      <c r="F25" s="190"/>
      <c r="G25" s="63">
        <v>18</v>
      </c>
      <c r="H25" s="64">
        <v>0</v>
      </c>
      <c r="I25" s="64">
        <v>0</v>
      </c>
    </row>
    <row r="26" spans="1:9" ht="12.75" customHeight="1" x14ac:dyDescent="0.2">
      <c r="A26" s="190" t="s">
        <v>187</v>
      </c>
      <c r="B26" s="190"/>
      <c r="C26" s="190"/>
      <c r="D26" s="190"/>
      <c r="E26" s="190"/>
      <c r="F26" s="190"/>
      <c r="G26" s="63">
        <v>19</v>
      </c>
      <c r="H26" s="64">
        <v>0</v>
      </c>
      <c r="I26" s="64">
        <v>0</v>
      </c>
    </row>
    <row r="27" spans="1:9" ht="25.9" customHeight="1" x14ac:dyDescent="0.2">
      <c r="A27" s="251" t="s">
        <v>188</v>
      </c>
      <c r="B27" s="251"/>
      <c r="C27" s="251"/>
      <c r="D27" s="251"/>
      <c r="E27" s="251"/>
      <c r="F27" s="251"/>
      <c r="G27" s="65">
        <v>20</v>
      </c>
      <c r="H27" s="66">
        <f>H24+H25+H26</f>
        <v>935263</v>
      </c>
      <c r="I27" s="66">
        <f>I24+I25+I26</f>
        <v>-1508738</v>
      </c>
    </row>
    <row r="28" spans="1:9" x14ac:dyDescent="0.2">
      <c r="A28" s="250" t="s">
        <v>189</v>
      </c>
      <c r="B28" s="250"/>
      <c r="C28" s="250"/>
      <c r="D28" s="250"/>
      <c r="E28" s="250"/>
      <c r="F28" s="250"/>
      <c r="G28" s="250"/>
      <c r="H28" s="250"/>
      <c r="I28" s="250"/>
    </row>
    <row r="29" spans="1:9" ht="30.6" customHeight="1" x14ac:dyDescent="0.2">
      <c r="A29" s="190" t="s">
        <v>190</v>
      </c>
      <c r="B29" s="190"/>
      <c r="C29" s="190"/>
      <c r="D29" s="190"/>
      <c r="E29" s="190"/>
      <c r="F29" s="190"/>
      <c r="G29" s="63">
        <v>21</v>
      </c>
      <c r="H29" s="67">
        <v>780000</v>
      </c>
      <c r="I29" s="67">
        <v>581546</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6" t="s">
        <v>196</v>
      </c>
      <c r="B35" s="246"/>
      <c r="C35" s="246"/>
      <c r="D35" s="246"/>
      <c r="E35" s="246"/>
      <c r="F35" s="246"/>
      <c r="G35" s="65">
        <v>27</v>
      </c>
      <c r="H35" s="68">
        <f>H29+H30+H31+H32+H33+H34</f>
        <v>780000</v>
      </c>
      <c r="I35" s="68">
        <f>I29+I30+I31+I32+I33+I34</f>
        <v>581546</v>
      </c>
    </row>
    <row r="36" spans="1:9" ht="22.9" customHeight="1" x14ac:dyDescent="0.2">
      <c r="A36" s="190" t="s">
        <v>197</v>
      </c>
      <c r="B36" s="190"/>
      <c r="C36" s="190"/>
      <c r="D36" s="190"/>
      <c r="E36" s="190"/>
      <c r="F36" s="190"/>
      <c r="G36" s="63">
        <v>28</v>
      </c>
      <c r="H36" s="67">
        <v>0</v>
      </c>
      <c r="I36" s="67">
        <v>0</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-367917</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6" t="s">
        <v>202</v>
      </c>
      <c r="B41" s="246"/>
      <c r="C41" s="246"/>
      <c r="D41" s="246"/>
      <c r="E41" s="246"/>
      <c r="F41" s="246"/>
      <c r="G41" s="65">
        <v>33</v>
      </c>
      <c r="H41" s="68">
        <f>H36+H37+H38+H39+H40</f>
        <v>-367917</v>
      </c>
      <c r="I41" s="68">
        <f>I36+I37+I38+I39+I40</f>
        <v>0</v>
      </c>
    </row>
    <row r="42" spans="1:9" ht="29.45" customHeight="1" x14ac:dyDescent="0.2">
      <c r="A42" s="251" t="s">
        <v>203</v>
      </c>
      <c r="B42" s="251"/>
      <c r="C42" s="251"/>
      <c r="D42" s="251"/>
      <c r="E42" s="251"/>
      <c r="F42" s="251"/>
      <c r="G42" s="65">
        <v>34</v>
      </c>
      <c r="H42" s="68">
        <f>H35+H41</f>
        <v>412083</v>
      </c>
      <c r="I42" s="68">
        <f>I35+I41</f>
        <v>581546</v>
      </c>
    </row>
    <row r="43" spans="1:9" x14ac:dyDescent="0.2">
      <c r="A43" s="250" t="s">
        <v>204</v>
      </c>
      <c r="B43" s="250"/>
      <c r="C43" s="250"/>
      <c r="D43" s="250"/>
      <c r="E43" s="250"/>
      <c r="F43" s="250"/>
      <c r="G43" s="250"/>
      <c r="H43" s="250"/>
      <c r="I43" s="250"/>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627034</v>
      </c>
    </row>
    <row r="47" spans="1:9" ht="12.75" customHeight="1" x14ac:dyDescent="0.2">
      <c r="A47" s="190" t="s">
        <v>208</v>
      </c>
      <c r="B47" s="190"/>
      <c r="C47" s="190"/>
      <c r="D47" s="190"/>
      <c r="E47" s="190"/>
      <c r="F47" s="190"/>
      <c r="G47" s="63">
        <v>38</v>
      </c>
      <c r="H47" s="67">
        <v>0</v>
      </c>
      <c r="I47" s="67">
        <v>0</v>
      </c>
    </row>
    <row r="48" spans="1:9" ht="22.15" customHeight="1" x14ac:dyDescent="0.2">
      <c r="A48" s="246" t="s">
        <v>209</v>
      </c>
      <c r="B48" s="246"/>
      <c r="C48" s="246"/>
      <c r="D48" s="246"/>
      <c r="E48" s="246"/>
      <c r="F48" s="246"/>
      <c r="G48" s="65">
        <v>39</v>
      </c>
      <c r="H48" s="68">
        <f>H44+H45+H46+H47</f>
        <v>0</v>
      </c>
      <c r="I48" s="68">
        <f>I44+I45+I46+I47</f>
        <v>627034</v>
      </c>
    </row>
    <row r="49" spans="1:9" ht="24.6" customHeight="1" x14ac:dyDescent="0.2">
      <c r="A49" s="190" t="s">
        <v>305</v>
      </c>
      <c r="B49" s="190"/>
      <c r="C49" s="190"/>
      <c r="D49" s="190"/>
      <c r="E49" s="190"/>
      <c r="F49" s="190"/>
      <c r="G49" s="63">
        <v>40</v>
      </c>
      <c r="H49" s="67">
        <v>0</v>
      </c>
      <c r="I49" s="67">
        <v>0</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-1426603</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6" t="s">
        <v>214</v>
      </c>
      <c r="B54" s="246"/>
      <c r="C54" s="246"/>
      <c r="D54" s="246"/>
      <c r="E54" s="246"/>
      <c r="F54" s="246"/>
      <c r="G54" s="65">
        <v>45</v>
      </c>
      <c r="H54" s="68">
        <f>H49+H50+H51+H52+H53</f>
        <v>-1426603</v>
      </c>
      <c r="I54" s="68">
        <f>I49+I50+I51+I52+I53</f>
        <v>0</v>
      </c>
    </row>
    <row r="55" spans="1:9" ht="29.45" customHeight="1" x14ac:dyDescent="0.2">
      <c r="A55" s="251" t="s">
        <v>215</v>
      </c>
      <c r="B55" s="251"/>
      <c r="C55" s="251"/>
      <c r="D55" s="251"/>
      <c r="E55" s="251"/>
      <c r="F55" s="251"/>
      <c r="G55" s="65">
        <v>46</v>
      </c>
      <c r="H55" s="68">
        <f>H48+H54</f>
        <v>-1426603</v>
      </c>
      <c r="I55" s="68">
        <f>I48+I54</f>
        <v>627034</v>
      </c>
    </row>
    <row r="56" spans="1:9" x14ac:dyDescent="0.2">
      <c r="A56" s="190" t="s">
        <v>216</v>
      </c>
      <c r="B56" s="190"/>
      <c r="C56" s="190"/>
      <c r="D56" s="190"/>
      <c r="E56" s="190"/>
      <c r="F56" s="190"/>
      <c r="G56" s="63">
        <v>47</v>
      </c>
      <c r="H56" s="67">
        <v>0</v>
      </c>
      <c r="I56" s="67">
        <v>0</v>
      </c>
    </row>
    <row r="57" spans="1:9" ht="26.45" customHeight="1" x14ac:dyDescent="0.2">
      <c r="A57" s="251" t="s">
        <v>217</v>
      </c>
      <c r="B57" s="251"/>
      <c r="C57" s="251"/>
      <c r="D57" s="251"/>
      <c r="E57" s="251"/>
      <c r="F57" s="251"/>
      <c r="G57" s="65">
        <v>48</v>
      </c>
      <c r="H57" s="68">
        <f>H27+H42+H55+H56</f>
        <v>-79257</v>
      </c>
      <c r="I57" s="68">
        <f>I27+I42+I55+I56</f>
        <v>-300158</v>
      </c>
    </row>
    <row r="58" spans="1:9" x14ac:dyDescent="0.2">
      <c r="A58" s="252" t="s">
        <v>218</v>
      </c>
      <c r="B58" s="252"/>
      <c r="C58" s="252"/>
      <c r="D58" s="252"/>
      <c r="E58" s="252"/>
      <c r="F58" s="252"/>
      <c r="G58" s="63">
        <v>49</v>
      </c>
      <c r="H58" s="67">
        <v>512774</v>
      </c>
      <c r="I58" s="67">
        <f>H59</f>
        <v>433517</v>
      </c>
    </row>
    <row r="59" spans="1:9" ht="31.15" customHeight="1" x14ac:dyDescent="0.2">
      <c r="A59" s="251" t="s">
        <v>219</v>
      </c>
      <c r="B59" s="251"/>
      <c r="C59" s="251"/>
      <c r="D59" s="251"/>
      <c r="E59" s="251"/>
      <c r="F59" s="251"/>
      <c r="G59" s="65">
        <v>50</v>
      </c>
      <c r="H59" s="68">
        <f>H57+H58</f>
        <v>433517</v>
      </c>
      <c r="I59" s="68">
        <f>I57+I58</f>
        <v>133359</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10" sqref="A10:F10"/>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53" t="s">
        <v>328</v>
      </c>
      <c r="B2" s="196"/>
      <c r="C2" s="196"/>
      <c r="D2" s="196"/>
      <c r="E2" s="196"/>
      <c r="F2" s="196"/>
      <c r="G2" s="196"/>
      <c r="H2" s="196"/>
      <c r="I2" s="196"/>
    </row>
    <row r="3" spans="1:9" x14ac:dyDescent="0.2">
      <c r="A3" s="267" t="s">
        <v>448</v>
      </c>
      <c r="B3" s="268"/>
      <c r="C3" s="268"/>
      <c r="D3" s="268"/>
      <c r="E3" s="268"/>
      <c r="F3" s="268"/>
      <c r="G3" s="268"/>
      <c r="H3" s="268"/>
      <c r="I3" s="268"/>
    </row>
    <row r="4" spans="1:9" x14ac:dyDescent="0.2">
      <c r="A4" s="243" t="s">
        <v>329</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c r="I8" s="23"/>
    </row>
    <row r="9" spans="1:9" x14ac:dyDescent="0.2">
      <c r="A9" s="258" t="s">
        <v>222</v>
      </c>
      <c r="B9" s="258"/>
      <c r="C9" s="258"/>
      <c r="D9" s="258"/>
      <c r="E9" s="258"/>
      <c r="F9" s="258"/>
      <c r="G9" s="17">
        <v>2</v>
      </c>
      <c r="H9" s="24"/>
      <c r="I9" s="24"/>
    </row>
    <row r="10" spans="1:9" x14ac:dyDescent="0.2">
      <c r="A10" s="258" t="s">
        <v>223</v>
      </c>
      <c r="B10" s="258"/>
      <c r="C10" s="258"/>
      <c r="D10" s="258"/>
      <c r="E10" s="258"/>
      <c r="F10" s="258"/>
      <c r="G10" s="17">
        <v>3</v>
      </c>
      <c r="H10" s="24"/>
      <c r="I10" s="24"/>
    </row>
    <row r="11" spans="1:9" x14ac:dyDescent="0.2">
      <c r="A11" s="258" t="s">
        <v>224</v>
      </c>
      <c r="B11" s="258"/>
      <c r="C11" s="258"/>
      <c r="D11" s="258"/>
      <c r="E11" s="258"/>
      <c r="F11" s="258"/>
      <c r="G11" s="17">
        <v>4</v>
      </c>
      <c r="H11" s="24"/>
      <c r="I11" s="24"/>
    </row>
    <row r="12" spans="1:9" x14ac:dyDescent="0.2">
      <c r="A12" s="258" t="s">
        <v>395</v>
      </c>
      <c r="B12" s="258"/>
      <c r="C12" s="258"/>
      <c r="D12" s="258"/>
      <c r="E12" s="258"/>
      <c r="F12" s="258"/>
      <c r="G12" s="17">
        <v>5</v>
      </c>
      <c r="H12" s="24"/>
      <c r="I12" s="24"/>
    </row>
    <row r="13" spans="1:9" x14ac:dyDescent="0.2">
      <c r="A13" s="266" t="s">
        <v>396</v>
      </c>
      <c r="B13" s="266"/>
      <c r="C13" s="266"/>
      <c r="D13" s="266"/>
      <c r="E13" s="266"/>
      <c r="F13" s="266"/>
      <c r="G13" s="53">
        <v>6</v>
      </c>
      <c r="H13" s="56">
        <f>SUM(H8:H12)</f>
        <v>0</v>
      </c>
      <c r="I13" s="56">
        <f>SUM(I8:I12)</f>
        <v>0</v>
      </c>
    </row>
    <row r="14" spans="1:9" ht="12.75" customHeight="1" x14ac:dyDescent="0.2">
      <c r="A14" s="258" t="s">
        <v>397</v>
      </c>
      <c r="B14" s="258"/>
      <c r="C14" s="258"/>
      <c r="D14" s="258"/>
      <c r="E14" s="258"/>
      <c r="F14" s="258"/>
      <c r="G14" s="17">
        <v>7</v>
      </c>
      <c r="H14" s="24"/>
      <c r="I14" s="24"/>
    </row>
    <row r="15" spans="1:9" ht="12.75" customHeight="1" x14ac:dyDescent="0.2">
      <c r="A15" s="258" t="s">
        <v>398</v>
      </c>
      <c r="B15" s="258"/>
      <c r="C15" s="258"/>
      <c r="D15" s="258"/>
      <c r="E15" s="258"/>
      <c r="F15" s="258"/>
      <c r="G15" s="17">
        <v>8</v>
      </c>
      <c r="H15" s="24"/>
      <c r="I15" s="24"/>
    </row>
    <row r="16" spans="1:9" ht="12.75" customHeight="1" x14ac:dyDescent="0.2">
      <c r="A16" s="258" t="s">
        <v>399</v>
      </c>
      <c r="B16" s="258"/>
      <c r="C16" s="258"/>
      <c r="D16" s="258"/>
      <c r="E16" s="258"/>
      <c r="F16" s="258"/>
      <c r="G16" s="17">
        <v>9</v>
      </c>
      <c r="H16" s="24"/>
      <c r="I16" s="24"/>
    </row>
    <row r="17" spans="1:9" ht="12.75" customHeight="1" x14ac:dyDescent="0.2">
      <c r="A17" s="258" t="s">
        <v>400</v>
      </c>
      <c r="B17" s="258"/>
      <c r="C17" s="258"/>
      <c r="D17" s="258"/>
      <c r="E17" s="258"/>
      <c r="F17" s="258"/>
      <c r="G17" s="17">
        <v>10</v>
      </c>
      <c r="H17" s="24"/>
      <c r="I17" s="24"/>
    </row>
    <row r="18" spans="1:9" ht="12.75" customHeight="1" x14ac:dyDescent="0.2">
      <c r="A18" s="258" t="s">
        <v>401</v>
      </c>
      <c r="B18" s="258"/>
      <c r="C18" s="258"/>
      <c r="D18" s="258"/>
      <c r="E18" s="258"/>
      <c r="F18" s="258"/>
      <c r="G18" s="17">
        <v>11</v>
      </c>
      <c r="H18" s="24"/>
      <c r="I18" s="24"/>
    </row>
    <row r="19" spans="1:9" ht="12.75" customHeight="1" x14ac:dyDescent="0.2">
      <c r="A19" s="258" t="s">
        <v>402</v>
      </c>
      <c r="B19" s="258"/>
      <c r="C19" s="258"/>
      <c r="D19" s="258"/>
      <c r="E19" s="258"/>
      <c r="F19" s="258"/>
      <c r="G19" s="17">
        <v>12</v>
      </c>
      <c r="H19" s="24"/>
      <c r="I19" s="24"/>
    </row>
    <row r="20" spans="1:9" ht="26.25" customHeight="1" x14ac:dyDescent="0.2">
      <c r="A20" s="266" t="s">
        <v>403</v>
      </c>
      <c r="B20" s="266"/>
      <c r="C20" s="266"/>
      <c r="D20" s="266"/>
      <c r="E20" s="266"/>
      <c r="F20" s="266"/>
      <c r="G20" s="53">
        <v>13</v>
      </c>
      <c r="H20" s="56">
        <f>SUM(H14:H19)</f>
        <v>0</v>
      </c>
      <c r="I20" s="56">
        <f>SUM(I14:I19)</f>
        <v>0</v>
      </c>
    </row>
    <row r="21" spans="1:9" ht="27.6" customHeight="1" x14ac:dyDescent="0.2">
      <c r="A21" s="264" t="s">
        <v>404</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c r="I23" s="23"/>
    </row>
    <row r="24" spans="1:9" ht="12.75" customHeight="1" x14ac:dyDescent="0.2">
      <c r="A24" s="258" t="s">
        <v>226</v>
      </c>
      <c r="B24" s="258"/>
      <c r="C24" s="258"/>
      <c r="D24" s="258"/>
      <c r="E24" s="258"/>
      <c r="F24" s="258"/>
      <c r="G24" s="16">
        <v>16</v>
      </c>
      <c r="H24" s="24"/>
      <c r="I24" s="24"/>
    </row>
    <row r="25" spans="1:9" ht="12.75" customHeight="1" x14ac:dyDescent="0.2">
      <c r="A25" s="258" t="s">
        <v>227</v>
      </c>
      <c r="B25" s="258"/>
      <c r="C25" s="258"/>
      <c r="D25" s="258"/>
      <c r="E25" s="258"/>
      <c r="F25" s="258"/>
      <c r="G25" s="16">
        <v>17</v>
      </c>
      <c r="H25" s="24"/>
      <c r="I25" s="24"/>
    </row>
    <row r="26" spans="1:9" ht="12.75" customHeight="1" x14ac:dyDescent="0.2">
      <c r="A26" s="258" t="s">
        <v>228</v>
      </c>
      <c r="B26" s="258"/>
      <c r="C26" s="258"/>
      <c r="D26" s="258"/>
      <c r="E26" s="258"/>
      <c r="F26" s="258"/>
      <c r="G26" s="16">
        <v>18</v>
      </c>
      <c r="H26" s="24"/>
      <c r="I26" s="24"/>
    </row>
    <row r="27" spans="1:9" ht="12.75" customHeight="1" x14ac:dyDescent="0.2">
      <c r="A27" s="258" t="s">
        <v>229</v>
      </c>
      <c r="B27" s="258"/>
      <c r="C27" s="258"/>
      <c r="D27" s="258"/>
      <c r="E27" s="258"/>
      <c r="F27" s="258"/>
      <c r="G27" s="16">
        <v>19</v>
      </c>
      <c r="H27" s="24"/>
      <c r="I27" s="24"/>
    </row>
    <row r="28" spans="1:9" ht="12.75" customHeight="1" x14ac:dyDescent="0.2">
      <c r="A28" s="258" t="s">
        <v>230</v>
      </c>
      <c r="B28" s="258"/>
      <c r="C28" s="258"/>
      <c r="D28" s="258"/>
      <c r="E28" s="258"/>
      <c r="F28" s="258"/>
      <c r="G28" s="16">
        <v>20</v>
      </c>
      <c r="H28" s="24"/>
      <c r="I28" s="24"/>
    </row>
    <row r="29" spans="1:9" ht="24" customHeight="1" x14ac:dyDescent="0.2">
      <c r="A29" s="259" t="s">
        <v>405</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c r="I30" s="24"/>
    </row>
    <row r="31" spans="1:9" ht="12.75" customHeight="1" x14ac:dyDescent="0.2">
      <c r="A31" s="258" t="s">
        <v>232</v>
      </c>
      <c r="B31" s="258"/>
      <c r="C31" s="258"/>
      <c r="D31" s="258"/>
      <c r="E31" s="258"/>
      <c r="F31" s="258"/>
      <c r="G31" s="17">
        <v>23</v>
      </c>
      <c r="H31" s="24"/>
      <c r="I31" s="24"/>
    </row>
    <row r="32" spans="1:9" ht="12.75" customHeight="1" x14ac:dyDescent="0.2">
      <c r="A32" s="258" t="s">
        <v>406</v>
      </c>
      <c r="B32" s="258"/>
      <c r="C32" s="258"/>
      <c r="D32" s="258"/>
      <c r="E32" s="258"/>
      <c r="F32" s="258"/>
      <c r="G32" s="17">
        <v>24</v>
      </c>
      <c r="H32" s="24"/>
      <c r="I32" s="24"/>
    </row>
    <row r="33" spans="1:9" ht="12.75" customHeight="1" x14ac:dyDescent="0.2">
      <c r="A33" s="258" t="s">
        <v>233</v>
      </c>
      <c r="B33" s="258"/>
      <c r="C33" s="258"/>
      <c r="D33" s="258"/>
      <c r="E33" s="258"/>
      <c r="F33" s="258"/>
      <c r="G33" s="17">
        <v>25</v>
      </c>
      <c r="H33" s="24"/>
      <c r="I33" s="24"/>
    </row>
    <row r="34" spans="1:9" ht="12.75" customHeight="1" x14ac:dyDescent="0.2">
      <c r="A34" s="258" t="s">
        <v>234</v>
      </c>
      <c r="B34" s="258"/>
      <c r="C34" s="258"/>
      <c r="D34" s="258"/>
      <c r="E34" s="258"/>
      <c r="F34" s="258"/>
      <c r="G34" s="17">
        <v>26</v>
      </c>
      <c r="H34" s="24"/>
      <c r="I34" s="24"/>
    </row>
    <row r="35" spans="1:9" ht="25.9" customHeight="1" x14ac:dyDescent="0.2">
      <c r="A35" s="259" t="s">
        <v>407</v>
      </c>
      <c r="B35" s="259"/>
      <c r="C35" s="259"/>
      <c r="D35" s="259"/>
      <c r="E35" s="259"/>
      <c r="F35" s="259"/>
      <c r="G35" s="53">
        <v>27</v>
      </c>
      <c r="H35" s="57">
        <f>SUM(H30:H34)</f>
        <v>0</v>
      </c>
      <c r="I35" s="57">
        <f>SUM(I30:I34)</f>
        <v>0</v>
      </c>
    </row>
    <row r="36" spans="1:9" ht="28.15" customHeight="1" x14ac:dyDescent="0.2">
      <c r="A36" s="264" t="s">
        <v>408</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c r="I38" s="23"/>
    </row>
    <row r="39" spans="1:9" ht="25.15" customHeight="1" x14ac:dyDescent="0.2">
      <c r="A39" s="257" t="s">
        <v>236</v>
      </c>
      <c r="B39" s="257"/>
      <c r="C39" s="257"/>
      <c r="D39" s="257"/>
      <c r="E39" s="257"/>
      <c r="F39" s="257"/>
      <c r="G39" s="17">
        <v>30</v>
      </c>
      <c r="H39" s="24"/>
      <c r="I39" s="24"/>
    </row>
    <row r="40" spans="1:9" ht="12.75" customHeight="1" x14ac:dyDescent="0.2">
      <c r="A40" s="257" t="s">
        <v>237</v>
      </c>
      <c r="B40" s="257"/>
      <c r="C40" s="257"/>
      <c r="D40" s="257"/>
      <c r="E40" s="257"/>
      <c r="F40" s="257"/>
      <c r="G40" s="17">
        <v>31</v>
      </c>
      <c r="H40" s="24"/>
      <c r="I40" s="24"/>
    </row>
    <row r="41" spans="1:9" ht="12.75" customHeight="1" x14ac:dyDescent="0.2">
      <c r="A41" s="257" t="s">
        <v>238</v>
      </c>
      <c r="B41" s="257"/>
      <c r="C41" s="257"/>
      <c r="D41" s="257"/>
      <c r="E41" s="257"/>
      <c r="F41" s="257"/>
      <c r="G41" s="17">
        <v>32</v>
      </c>
      <c r="H41" s="24"/>
      <c r="I41" s="24"/>
    </row>
    <row r="42" spans="1:9" ht="25.9" customHeight="1" x14ac:dyDescent="0.2">
      <c r="A42" s="259" t="s">
        <v>409</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c r="I43" s="24"/>
    </row>
    <row r="44" spans="1:9" ht="12.75" customHeight="1" x14ac:dyDescent="0.2">
      <c r="A44" s="257" t="s">
        <v>240</v>
      </c>
      <c r="B44" s="257"/>
      <c r="C44" s="257"/>
      <c r="D44" s="257"/>
      <c r="E44" s="257"/>
      <c r="F44" s="257"/>
      <c r="G44" s="17">
        <v>35</v>
      </c>
      <c r="H44" s="24"/>
      <c r="I44" s="24"/>
    </row>
    <row r="45" spans="1:9" ht="12.75" customHeight="1" x14ac:dyDescent="0.2">
      <c r="A45" s="257" t="s">
        <v>241</v>
      </c>
      <c r="B45" s="257"/>
      <c r="C45" s="257"/>
      <c r="D45" s="257"/>
      <c r="E45" s="257"/>
      <c r="F45" s="257"/>
      <c r="G45" s="17">
        <v>36</v>
      </c>
      <c r="H45" s="24"/>
      <c r="I45" s="24"/>
    </row>
    <row r="46" spans="1:9" ht="21" customHeight="1" x14ac:dyDescent="0.2">
      <c r="A46" s="257" t="s">
        <v>242</v>
      </c>
      <c r="B46" s="257"/>
      <c r="C46" s="257"/>
      <c r="D46" s="257"/>
      <c r="E46" s="257"/>
      <c r="F46" s="257"/>
      <c r="G46" s="17">
        <v>37</v>
      </c>
      <c r="H46" s="24"/>
      <c r="I46" s="24"/>
    </row>
    <row r="47" spans="1:9" ht="12.75" customHeight="1" x14ac:dyDescent="0.2">
      <c r="A47" s="257" t="s">
        <v>243</v>
      </c>
      <c r="B47" s="257"/>
      <c r="C47" s="257"/>
      <c r="D47" s="257"/>
      <c r="E47" s="257"/>
      <c r="F47" s="257"/>
      <c r="G47" s="17">
        <v>38</v>
      </c>
      <c r="H47" s="24"/>
      <c r="I47" s="24"/>
    </row>
    <row r="48" spans="1:9" ht="22.9" customHeight="1" x14ac:dyDescent="0.2">
      <c r="A48" s="259" t="s">
        <v>410</v>
      </c>
      <c r="B48" s="259"/>
      <c r="C48" s="259"/>
      <c r="D48" s="259"/>
      <c r="E48" s="259"/>
      <c r="F48" s="259"/>
      <c r="G48" s="53">
        <v>39</v>
      </c>
      <c r="H48" s="57">
        <f>H47+H46+H45+H44+H43</f>
        <v>0</v>
      </c>
      <c r="I48" s="57">
        <f>I47+I46+I45+I44+I43</f>
        <v>0</v>
      </c>
    </row>
    <row r="49" spans="1:9" ht="25.9" customHeight="1" x14ac:dyDescent="0.2">
      <c r="A49" s="270" t="s">
        <v>445</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c r="I50" s="24"/>
    </row>
    <row r="51" spans="1:9" ht="25.9" customHeight="1" x14ac:dyDescent="0.2">
      <c r="A51" s="270" t="s">
        <v>411</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c r="I52" s="24"/>
    </row>
    <row r="53" spans="1:9" ht="31.9" customHeight="1" x14ac:dyDescent="0.2">
      <c r="A53" s="269" t="s">
        <v>412</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90" zoomScaleNormal="100" zoomScaleSheetLayoutView="90" workbookViewId="0">
      <selection activeCell="U48" sqref="U48"/>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45292</v>
      </c>
      <c r="F2" s="4" t="s">
        <v>0</v>
      </c>
      <c r="G2" s="9">
        <v>45657</v>
      </c>
      <c r="H2" s="27"/>
      <c r="I2" s="27"/>
      <c r="J2" s="27"/>
      <c r="K2" s="26"/>
      <c r="X2" s="28" t="s">
        <v>448</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15476105</v>
      </c>
      <c r="I7" s="33">
        <v>-33895</v>
      </c>
      <c r="J7" s="33">
        <v>0</v>
      </c>
      <c r="K7" s="33">
        <v>191958</v>
      </c>
      <c r="L7" s="33">
        <v>483564</v>
      </c>
      <c r="M7" s="33">
        <v>0</v>
      </c>
      <c r="N7" s="33">
        <v>0</v>
      </c>
      <c r="O7" s="33">
        <v>5518291</v>
      </c>
      <c r="P7" s="33">
        <v>133711</v>
      </c>
      <c r="Q7" s="33">
        <v>0</v>
      </c>
      <c r="R7" s="33">
        <v>0</v>
      </c>
      <c r="S7" s="33">
        <v>0</v>
      </c>
      <c r="T7" s="33">
        <v>-35491</v>
      </c>
      <c r="U7" s="33">
        <v>-35835433</v>
      </c>
      <c r="V7" s="33">
        <v>2008657</v>
      </c>
      <c r="W7" s="34">
        <f>H7+I7+J7+K7-L7+M7+N7+O7+P7+Q7+R7+U7+V7+S7+T7</f>
        <v>-13059661</v>
      </c>
      <c r="X7" s="33">
        <v>61484</v>
      </c>
      <c r="Y7" s="34">
        <f>W7+X7</f>
        <v>-12998177</v>
      </c>
    </row>
    <row r="8" spans="1:25" x14ac:dyDescent="0.2">
      <c r="A8" s="278" t="s">
        <v>265</v>
      </c>
      <c r="B8" s="278"/>
      <c r="C8" s="278"/>
      <c r="D8" s="278"/>
      <c r="E8" s="278"/>
      <c r="F8" s="278"/>
      <c r="G8" s="6">
        <v>2</v>
      </c>
      <c r="H8" s="33"/>
      <c r="I8" s="33"/>
      <c r="J8" s="33"/>
      <c r="K8" s="33"/>
      <c r="L8" s="33"/>
      <c r="M8" s="33"/>
      <c r="N8" s="33"/>
      <c r="O8" s="33"/>
      <c r="P8" s="33"/>
      <c r="Q8" s="33"/>
      <c r="R8" s="33"/>
      <c r="S8" s="33"/>
      <c r="T8" s="33"/>
      <c r="U8" s="33"/>
      <c r="V8" s="33"/>
      <c r="W8" s="34">
        <f t="shared" ref="W8:W9" si="0">H8+I8+J8+K8-L8+M8+N8+O8+P8+Q8+R8+U8+V8+S8+T8</f>
        <v>0</v>
      </c>
      <c r="X8" s="33"/>
      <c r="Y8" s="34">
        <f t="shared" ref="Y8:Y9" si="1">W8+X8</f>
        <v>0</v>
      </c>
    </row>
    <row r="9" spans="1:25" x14ac:dyDescent="0.2">
      <c r="A9" s="278" t="s">
        <v>266</v>
      </c>
      <c r="B9" s="278"/>
      <c r="C9" s="278"/>
      <c r="D9" s="278"/>
      <c r="E9" s="278"/>
      <c r="F9" s="278"/>
      <c r="G9" s="6">
        <v>3</v>
      </c>
      <c r="H9" s="33"/>
      <c r="I9" s="33"/>
      <c r="J9" s="33"/>
      <c r="K9" s="33"/>
      <c r="L9" s="33"/>
      <c r="M9" s="33"/>
      <c r="N9" s="33"/>
      <c r="O9" s="33"/>
      <c r="P9" s="33"/>
      <c r="Q9" s="33"/>
      <c r="R9" s="33"/>
      <c r="S9" s="33"/>
      <c r="T9" s="33"/>
      <c r="U9" s="33"/>
      <c r="V9" s="33"/>
      <c r="W9" s="34">
        <f t="shared" si="0"/>
        <v>0</v>
      </c>
      <c r="X9" s="33"/>
      <c r="Y9" s="34">
        <f t="shared" si="1"/>
        <v>0</v>
      </c>
    </row>
    <row r="10" spans="1:25" ht="24" customHeight="1" x14ac:dyDescent="0.2">
      <c r="A10" s="279" t="s">
        <v>299</v>
      </c>
      <c r="B10" s="279"/>
      <c r="C10" s="279"/>
      <c r="D10" s="279"/>
      <c r="E10" s="279"/>
      <c r="F10" s="279"/>
      <c r="G10" s="7">
        <v>4</v>
      </c>
      <c r="H10" s="34">
        <f>H7+H8+H9</f>
        <v>15476105</v>
      </c>
      <c r="I10" s="34">
        <f t="shared" ref="I10:Y10" si="2">I7+I8+I9</f>
        <v>-33895</v>
      </c>
      <c r="J10" s="34">
        <f t="shared" si="2"/>
        <v>0</v>
      </c>
      <c r="K10" s="34">
        <f>K7+K8+K9</f>
        <v>191958</v>
      </c>
      <c r="L10" s="34">
        <f t="shared" si="2"/>
        <v>483564</v>
      </c>
      <c r="M10" s="34">
        <f t="shared" si="2"/>
        <v>0</v>
      </c>
      <c r="N10" s="34">
        <f t="shared" si="2"/>
        <v>0</v>
      </c>
      <c r="O10" s="34">
        <f t="shared" si="2"/>
        <v>5518291</v>
      </c>
      <c r="P10" s="34">
        <f t="shared" si="2"/>
        <v>133711</v>
      </c>
      <c r="Q10" s="34">
        <f t="shared" si="2"/>
        <v>0</v>
      </c>
      <c r="R10" s="34">
        <f t="shared" si="2"/>
        <v>0</v>
      </c>
      <c r="S10" s="34">
        <f t="shared" si="2"/>
        <v>0</v>
      </c>
      <c r="T10" s="34">
        <f t="shared" si="2"/>
        <v>-35491</v>
      </c>
      <c r="U10" s="34">
        <f t="shared" si="2"/>
        <v>-35835433</v>
      </c>
      <c r="V10" s="34">
        <f t="shared" si="2"/>
        <v>2008657</v>
      </c>
      <c r="W10" s="34">
        <f t="shared" si="2"/>
        <v>-13059661</v>
      </c>
      <c r="X10" s="34">
        <f t="shared" si="2"/>
        <v>61484</v>
      </c>
      <c r="Y10" s="34">
        <f t="shared" si="2"/>
        <v>-12998177</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c r="T11" s="33"/>
      <c r="U11" s="35">
        <v>0</v>
      </c>
      <c r="V11" s="33">
        <f>Bilanca!H95</f>
        <v>4985294</v>
      </c>
      <c r="W11" s="34">
        <f t="shared" ref="W11:W29" si="3">H11+I11+J11+K11-L11+M11+N11+O11+P11+Q11+R11+U11+V11+S11+T11</f>
        <v>4985294</v>
      </c>
      <c r="X11" s="33">
        <v>1598</v>
      </c>
      <c r="Y11" s="34">
        <f t="shared" ref="Y11:Y29" si="4">W11+X11</f>
        <v>4986892</v>
      </c>
    </row>
    <row r="12" spans="1:25" x14ac:dyDescent="0.2">
      <c r="A12" s="278" t="s">
        <v>268</v>
      </c>
      <c r="B12" s="278"/>
      <c r="C12" s="278"/>
      <c r="D12" s="278"/>
      <c r="E12" s="278"/>
      <c r="F12" s="278"/>
      <c r="G12" s="6">
        <v>6</v>
      </c>
      <c r="H12" s="35">
        <v>0</v>
      </c>
      <c r="I12" s="35">
        <v>0</v>
      </c>
      <c r="J12" s="35">
        <v>0</v>
      </c>
      <c r="K12" s="35">
        <v>0</v>
      </c>
      <c r="L12" s="35">
        <v>0</v>
      </c>
      <c r="M12" s="35">
        <v>0</v>
      </c>
      <c r="N12" s="33"/>
      <c r="O12" s="35">
        <v>0</v>
      </c>
      <c r="P12" s="35">
        <v>0</v>
      </c>
      <c r="Q12" s="35">
        <v>0</v>
      </c>
      <c r="R12" s="35">
        <v>0</v>
      </c>
      <c r="S12" s="33"/>
      <c r="T12" s="33"/>
      <c r="U12" s="35">
        <v>0</v>
      </c>
      <c r="V12" s="35">
        <v>0</v>
      </c>
      <c r="W12" s="34">
        <f t="shared" si="3"/>
        <v>0</v>
      </c>
      <c r="X12" s="33"/>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-3036477.5</v>
      </c>
      <c r="P13" s="35">
        <v>0</v>
      </c>
      <c r="Q13" s="35">
        <v>0</v>
      </c>
      <c r="R13" s="35">
        <v>0</v>
      </c>
      <c r="S13" s="33"/>
      <c r="T13" s="33"/>
      <c r="U13" s="33">
        <f>5103032+223673.56</f>
        <v>5326705.5599999996</v>
      </c>
      <c r="V13" s="33"/>
      <c r="W13" s="34">
        <f t="shared" si="3"/>
        <v>2290228.0599999996</v>
      </c>
      <c r="X13" s="33"/>
      <c r="Y13" s="34">
        <f t="shared" si="4"/>
        <v>2290228.0599999996</v>
      </c>
    </row>
    <row r="14" spans="1:25" ht="39" customHeight="1" x14ac:dyDescent="0.2">
      <c r="A14" s="278" t="s">
        <v>419</v>
      </c>
      <c r="B14" s="278"/>
      <c r="C14" s="278"/>
      <c r="D14" s="278"/>
      <c r="E14" s="278"/>
      <c r="F14" s="278"/>
      <c r="G14" s="6">
        <v>8</v>
      </c>
      <c r="H14" s="35">
        <v>0</v>
      </c>
      <c r="I14" s="35">
        <v>0</v>
      </c>
      <c r="J14" s="35">
        <v>0</v>
      </c>
      <c r="K14" s="35">
        <v>0</v>
      </c>
      <c r="L14" s="35">
        <v>0</v>
      </c>
      <c r="M14" s="35">
        <v>0</v>
      </c>
      <c r="N14" s="35">
        <v>0</v>
      </c>
      <c r="O14" s="35">
        <v>0</v>
      </c>
      <c r="P14" s="33"/>
      <c r="Q14" s="35">
        <v>0</v>
      </c>
      <c r="R14" s="35">
        <v>0</v>
      </c>
      <c r="S14" s="33"/>
      <c r="T14" s="33"/>
      <c r="U14" s="33"/>
      <c r="V14" s="33"/>
      <c r="W14" s="34">
        <f t="shared" si="3"/>
        <v>0</v>
      </c>
      <c r="X14" s="33"/>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c r="R15" s="35">
        <v>0</v>
      </c>
      <c r="S15" s="33"/>
      <c r="T15" s="33"/>
      <c r="U15" s="33"/>
      <c r="V15" s="33"/>
      <c r="W15" s="34">
        <f t="shared" si="3"/>
        <v>0</v>
      </c>
      <c r="X15" s="33"/>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c r="S16" s="33"/>
      <c r="T16" s="33"/>
      <c r="U16" s="33"/>
      <c r="V16" s="33"/>
      <c r="W16" s="34">
        <f t="shared" si="3"/>
        <v>0</v>
      </c>
      <c r="X16" s="33"/>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c r="O17" s="33"/>
      <c r="P17" s="33"/>
      <c r="Q17" s="33"/>
      <c r="R17" s="33"/>
      <c r="S17" s="33"/>
      <c r="T17" s="33"/>
      <c r="U17" s="33"/>
      <c r="V17" s="33"/>
      <c r="W17" s="34">
        <f t="shared" si="3"/>
        <v>0</v>
      </c>
      <c r="X17" s="33"/>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c r="O18" s="33"/>
      <c r="P18" s="33"/>
      <c r="Q18" s="33"/>
      <c r="R18" s="33"/>
      <c r="S18" s="33"/>
      <c r="T18" s="33"/>
      <c r="U18" s="33"/>
      <c r="V18" s="33"/>
      <c r="W18" s="34">
        <f t="shared" si="3"/>
        <v>0</v>
      </c>
      <c r="X18" s="33"/>
      <c r="Y18" s="34">
        <f t="shared" si="4"/>
        <v>0</v>
      </c>
    </row>
    <row r="19" spans="1:25" x14ac:dyDescent="0.2">
      <c r="A19" s="278" t="s">
        <v>274</v>
      </c>
      <c r="B19" s="278"/>
      <c r="C19" s="278"/>
      <c r="D19" s="278"/>
      <c r="E19" s="278"/>
      <c r="F19" s="278"/>
      <c r="G19" s="6">
        <v>13</v>
      </c>
      <c r="H19" s="33"/>
      <c r="I19" s="33"/>
      <c r="J19" s="33"/>
      <c r="K19" s="33"/>
      <c r="L19" s="33"/>
      <c r="M19" s="33"/>
      <c r="N19" s="33"/>
      <c r="O19" s="33">
        <v>25208.35</v>
      </c>
      <c r="P19" s="33"/>
      <c r="Q19" s="33"/>
      <c r="R19" s="33"/>
      <c r="S19" s="33"/>
      <c r="T19" s="33">
        <v>321.42</v>
      </c>
      <c r="U19" s="33">
        <v>895627</v>
      </c>
      <c r="V19" s="33"/>
      <c r="W19" s="34">
        <f t="shared" si="3"/>
        <v>921156.77</v>
      </c>
      <c r="X19" s="33"/>
      <c r="Y19" s="34">
        <f t="shared" si="4"/>
        <v>921156.77</v>
      </c>
    </row>
    <row r="20" spans="1:25" x14ac:dyDescent="0.2">
      <c r="A20" s="278" t="s">
        <v>275</v>
      </c>
      <c r="B20" s="278"/>
      <c r="C20" s="278"/>
      <c r="D20" s="278"/>
      <c r="E20" s="278"/>
      <c r="F20" s="278"/>
      <c r="G20" s="6">
        <v>14</v>
      </c>
      <c r="H20" s="35">
        <v>0</v>
      </c>
      <c r="I20" s="35">
        <v>0</v>
      </c>
      <c r="J20" s="35">
        <v>0</v>
      </c>
      <c r="K20" s="35">
        <v>0</v>
      </c>
      <c r="L20" s="35">
        <v>0</v>
      </c>
      <c r="M20" s="35">
        <v>0</v>
      </c>
      <c r="N20" s="33"/>
      <c r="O20" s="33"/>
      <c r="P20" s="33"/>
      <c r="Q20" s="33"/>
      <c r="R20" s="33"/>
      <c r="S20" s="33"/>
      <c r="T20" s="33"/>
      <c r="U20" s="33">
        <v>0</v>
      </c>
      <c r="V20" s="33"/>
      <c r="W20" s="34">
        <f t="shared" si="3"/>
        <v>0</v>
      </c>
      <c r="X20" s="33"/>
      <c r="Y20" s="34">
        <f t="shared" si="4"/>
        <v>0</v>
      </c>
    </row>
    <row r="21" spans="1:25" ht="30.75" customHeight="1" x14ac:dyDescent="0.2">
      <c r="A21" s="278" t="s">
        <v>420</v>
      </c>
      <c r="B21" s="278"/>
      <c r="C21" s="278"/>
      <c r="D21" s="278"/>
      <c r="E21" s="278"/>
      <c r="F21" s="278"/>
      <c r="G21" s="6">
        <v>15</v>
      </c>
      <c r="H21" s="33">
        <v>-9339015</v>
      </c>
      <c r="I21" s="33"/>
      <c r="J21" s="33"/>
      <c r="K21" s="33"/>
      <c r="L21" s="33"/>
      <c r="M21" s="33"/>
      <c r="N21" s="33"/>
      <c r="O21" s="33"/>
      <c r="P21" s="33"/>
      <c r="Q21" s="33"/>
      <c r="R21" s="33"/>
      <c r="S21" s="33"/>
      <c r="T21" s="33">
        <v>0</v>
      </c>
      <c r="U21" s="33">
        <f>-H21</f>
        <v>9339015</v>
      </c>
      <c r="V21" s="33"/>
      <c r="W21" s="34">
        <f t="shared" si="3"/>
        <v>0</v>
      </c>
      <c r="X21" s="33"/>
      <c r="Y21" s="34">
        <f t="shared" si="4"/>
        <v>0</v>
      </c>
    </row>
    <row r="22" spans="1:25" ht="28.5" customHeight="1" x14ac:dyDescent="0.2">
      <c r="A22" s="278" t="s">
        <v>421</v>
      </c>
      <c r="B22" s="278"/>
      <c r="C22" s="278"/>
      <c r="D22" s="278"/>
      <c r="E22" s="278"/>
      <c r="F22" s="278"/>
      <c r="G22" s="6">
        <v>16</v>
      </c>
      <c r="H22" s="33"/>
      <c r="I22" s="33"/>
      <c r="J22" s="33"/>
      <c r="K22" s="33"/>
      <c r="L22" s="33"/>
      <c r="M22" s="33"/>
      <c r="N22" s="33"/>
      <c r="O22" s="33"/>
      <c r="P22" s="33"/>
      <c r="Q22" s="33"/>
      <c r="R22" s="33"/>
      <c r="S22" s="33"/>
      <c r="T22" s="33"/>
      <c r="U22" s="33"/>
      <c r="V22" s="33"/>
      <c r="W22" s="34">
        <f t="shared" si="3"/>
        <v>0</v>
      </c>
      <c r="X22" s="33"/>
      <c r="Y22" s="34">
        <f t="shared" si="4"/>
        <v>0</v>
      </c>
    </row>
    <row r="23" spans="1:25" ht="26.25" customHeight="1" x14ac:dyDescent="0.2">
      <c r="A23" s="278" t="s">
        <v>422</v>
      </c>
      <c r="B23" s="278"/>
      <c r="C23" s="278"/>
      <c r="D23" s="278"/>
      <c r="E23" s="278"/>
      <c r="F23" s="278"/>
      <c r="G23" s="6">
        <v>17</v>
      </c>
      <c r="H23" s="33"/>
      <c r="I23" s="33"/>
      <c r="J23" s="33"/>
      <c r="K23" s="33"/>
      <c r="L23" s="33"/>
      <c r="M23" s="33"/>
      <c r="N23" s="33"/>
      <c r="O23" s="33"/>
      <c r="P23" s="33"/>
      <c r="Q23" s="33"/>
      <c r="R23" s="33"/>
      <c r="S23" s="33"/>
      <c r="T23" s="33"/>
      <c r="U23" s="33"/>
      <c r="V23" s="33"/>
      <c r="W23" s="34">
        <f t="shared" si="3"/>
        <v>0</v>
      </c>
      <c r="X23" s="33"/>
      <c r="Y23" s="34">
        <f t="shared" si="4"/>
        <v>0</v>
      </c>
    </row>
    <row r="24" spans="1:25" x14ac:dyDescent="0.2">
      <c r="A24" s="278" t="s">
        <v>276</v>
      </c>
      <c r="B24" s="278"/>
      <c r="C24" s="278"/>
      <c r="D24" s="278"/>
      <c r="E24" s="278"/>
      <c r="F24" s="278"/>
      <c r="G24" s="6">
        <v>18</v>
      </c>
      <c r="H24" s="33"/>
      <c r="I24" s="33"/>
      <c r="J24" s="33"/>
      <c r="K24" s="33"/>
      <c r="L24" s="33"/>
      <c r="M24" s="33"/>
      <c r="N24" s="33"/>
      <c r="O24" s="33"/>
      <c r="P24" s="33"/>
      <c r="Q24" s="33"/>
      <c r="R24" s="33"/>
      <c r="S24" s="33"/>
      <c r="T24" s="33"/>
      <c r="U24" s="33"/>
      <c r="V24" s="33"/>
      <c r="W24" s="34">
        <f t="shared" si="3"/>
        <v>0</v>
      </c>
      <c r="X24" s="33"/>
      <c r="Y24" s="34">
        <f t="shared" si="4"/>
        <v>0</v>
      </c>
    </row>
    <row r="25" spans="1:25" x14ac:dyDescent="0.2">
      <c r="A25" s="278" t="s">
        <v>423</v>
      </c>
      <c r="B25" s="278"/>
      <c r="C25" s="278"/>
      <c r="D25" s="278"/>
      <c r="E25" s="278"/>
      <c r="F25" s="278"/>
      <c r="G25" s="6">
        <v>19</v>
      </c>
      <c r="H25" s="33"/>
      <c r="I25" s="33"/>
      <c r="J25" s="33"/>
      <c r="K25" s="33"/>
      <c r="L25" s="33"/>
      <c r="M25" s="33"/>
      <c r="N25" s="33"/>
      <c r="O25" s="33"/>
      <c r="P25" s="33"/>
      <c r="Q25" s="33"/>
      <c r="R25" s="33"/>
      <c r="S25" s="33"/>
      <c r="T25" s="33"/>
      <c r="U25" s="33"/>
      <c r="V25" s="33"/>
      <c r="W25" s="34">
        <f t="shared" si="3"/>
        <v>0</v>
      </c>
      <c r="X25" s="33"/>
      <c r="Y25" s="34">
        <f t="shared" si="4"/>
        <v>0</v>
      </c>
    </row>
    <row r="26" spans="1:25" ht="12.75" customHeight="1" x14ac:dyDescent="0.2">
      <c r="A26" s="278" t="s">
        <v>431</v>
      </c>
      <c r="B26" s="278"/>
      <c r="C26" s="278"/>
      <c r="D26" s="278"/>
      <c r="E26" s="278"/>
      <c r="F26" s="278"/>
      <c r="G26" s="6">
        <v>20</v>
      </c>
      <c r="H26" s="33"/>
      <c r="I26" s="33"/>
      <c r="J26" s="33"/>
      <c r="K26" s="33"/>
      <c r="L26" s="33"/>
      <c r="M26" s="33"/>
      <c r="N26" s="33"/>
      <c r="O26" s="33"/>
      <c r="P26" s="33"/>
      <c r="Q26" s="33"/>
      <c r="R26" s="33"/>
      <c r="S26" s="33"/>
      <c r="T26" s="33"/>
      <c r="U26" s="33"/>
      <c r="V26" s="33"/>
      <c r="W26" s="34">
        <f t="shared" si="3"/>
        <v>0</v>
      </c>
      <c r="X26" s="33"/>
      <c r="Y26" s="34">
        <f t="shared" si="4"/>
        <v>0</v>
      </c>
    </row>
    <row r="27" spans="1:25" ht="12.75" customHeight="1" x14ac:dyDescent="0.2">
      <c r="A27" s="278" t="s">
        <v>424</v>
      </c>
      <c r="B27" s="278"/>
      <c r="C27" s="278"/>
      <c r="D27" s="278"/>
      <c r="E27" s="278"/>
      <c r="F27" s="278"/>
      <c r="G27" s="6">
        <v>21</v>
      </c>
      <c r="H27" s="33">
        <v>8677540</v>
      </c>
      <c r="I27" s="33"/>
      <c r="J27" s="33"/>
      <c r="K27" s="33"/>
      <c r="L27" s="33"/>
      <c r="M27" s="33"/>
      <c r="N27" s="33"/>
      <c r="O27" s="33"/>
      <c r="P27" s="33"/>
      <c r="Q27" s="33"/>
      <c r="R27" s="33"/>
      <c r="S27" s="33"/>
      <c r="T27" s="33"/>
      <c r="U27" s="33"/>
      <c r="V27" s="33"/>
      <c r="W27" s="34">
        <f t="shared" si="3"/>
        <v>8677540</v>
      </c>
      <c r="X27" s="33"/>
      <c r="Y27" s="34">
        <f t="shared" si="4"/>
        <v>8677540</v>
      </c>
    </row>
    <row r="28" spans="1:25" ht="12.75" customHeight="1" x14ac:dyDescent="0.2">
      <c r="A28" s="278" t="s">
        <v>425</v>
      </c>
      <c r="B28" s="278"/>
      <c r="C28" s="278"/>
      <c r="D28" s="278"/>
      <c r="E28" s="278"/>
      <c r="F28" s="278"/>
      <c r="G28" s="6">
        <v>22</v>
      </c>
      <c r="H28" s="33"/>
      <c r="I28" s="33"/>
      <c r="J28" s="33"/>
      <c r="K28" s="33"/>
      <c r="L28" s="33"/>
      <c r="M28" s="33"/>
      <c r="N28" s="33"/>
      <c r="O28" s="33"/>
      <c r="P28" s="33"/>
      <c r="Q28" s="33"/>
      <c r="R28" s="33"/>
      <c r="S28" s="33"/>
      <c r="T28" s="33"/>
      <c r="U28" s="33">
        <f>V7</f>
        <v>2008657</v>
      </c>
      <c r="V28" s="33">
        <f>-U28</f>
        <v>-2008657</v>
      </c>
      <c r="W28" s="34">
        <f t="shared" si="3"/>
        <v>0</v>
      </c>
      <c r="X28" s="33"/>
      <c r="Y28" s="34">
        <f t="shared" si="4"/>
        <v>0</v>
      </c>
    </row>
    <row r="29" spans="1:25" ht="12.75" customHeight="1" x14ac:dyDescent="0.2">
      <c r="A29" s="278" t="s">
        <v>426</v>
      </c>
      <c r="B29" s="278"/>
      <c r="C29" s="278"/>
      <c r="D29" s="278"/>
      <c r="E29" s="278"/>
      <c r="F29" s="278"/>
      <c r="G29" s="6">
        <v>23</v>
      </c>
      <c r="H29" s="33"/>
      <c r="I29" s="33"/>
      <c r="J29" s="33"/>
      <c r="K29" s="33"/>
      <c r="L29" s="33"/>
      <c r="M29" s="33"/>
      <c r="N29" s="33"/>
      <c r="O29" s="33"/>
      <c r="P29" s="33"/>
      <c r="Q29" s="33"/>
      <c r="R29" s="33"/>
      <c r="S29" s="33"/>
      <c r="T29" s="33"/>
      <c r="U29" s="33"/>
      <c r="V29" s="33"/>
      <c r="W29" s="34">
        <f t="shared" si="3"/>
        <v>0</v>
      </c>
      <c r="X29" s="33"/>
      <c r="Y29" s="34">
        <f t="shared" si="4"/>
        <v>0</v>
      </c>
    </row>
    <row r="30" spans="1:25" ht="21.75" customHeight="1" x14ac:dyDescent="0.2">
      <c r="A30" s="296" t="s">
        <v>427</v>
      </c>
      <c r="B30" s="296"/>
      <c r="C30" s="296"/>
      <c r="D30" s="296"/>
      <c r="E30" s="296"/>
      <c r="F30" s="296"/>
      <c r="G30" s="8">
        <v>24</v>
      </c>
      <c r="H30" s="36">
        <f>SUM(H10:H29)</f>
        <v>14814630</v>
      </c>
      <c r="I30" s="36">
        <f t="shared" ref="I30:Y30" si="5">SUM(I10:I29)</f>
        <v>-33895</v>
      </c>
      <c r="J30" s="36">
        <f t="shared" si="5"/>
        <v>0</v>
      </c>
      <c r="K30" s="36">
        <f t="shared" si="5"/>
        <v>191958</v>
      </c>
      <c r="L30" s="36">
        <f t="shared" si="5"/>
        <v>483564</v>
      </c>
      <c r="M30" s="36">
        <f t="shared" si="5"/>
        <v>0</v>
      </c>
      <c r="N30" s="36">
        <f t="shared" si="5"/>
        <v>0</v>
      </c>
      <c r="O30" s="36">
        <f t="shared" si="5"/>
        <v>2507021.85</v>
      </c>
      <c r="P30" s="36">
        <f t="shared" si="5"/>
        <v>133711</v>
      </c>
      <c r="Q30" s="36">
        <f t="shared" si="5"/>
        <v>0</v>
      </c>
      <c r="R30" s="36">
        <f t="shared" si="5"/>
        <v>0</v>
      </c>
      <c r="S30" s="36">
        <f t="shared" si="5"/>
        <v>0</v>
      </c>
      <c r="T30" s="36">
        <f t="shared" si="5"/>
        <v>-35169.58</v>
      </c>
      <c r="U30" s="36">
        <f t="shared" si="5"/>
        <v>-18265428.440000001</v>
      </c>
      <c r="V30" s="36">
        <f t="shared" si="5"/>
        <v>4985294</v>
      </c>
      <c r="W30" s="36">
        <f t="shared" si="5"/>
        <v>3814557.83</v>
      </c>
      <c r="X30" s="36">
        <f t="shared" si="5"/>
        <v>63082</v>
      </c>
      <c r="Y30" s="36">
        <f t="shared" si="5"/>
        <v>3877639.83</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-3011269.15</v>
      </c>
      <c r="P32" s="34">
        <f t="shared" si="6"/>
        <v>0</v>
      </c>
      <c r="Q32" s="34">
        <f t="shared" si="6"/>
        <v>0</v>
      </c>
      <c r="R32" s="34">
        <f t="shared" si="6"/>
        <v>0</v>
      </c>
      <c r="S32" s="34">
        <f t="shared" ref="S32:T32" si="7">SUM(S12:S20)</f>
        <v>0</v>
      </c>
      <c r="T32" s="34">
        <f t="shared" si="7"/>
        <v>321.42</v>
      </c>
      <c r="U32" s="34">
        <f t="shared" si="6"/>
        <v>6222332.5599999996</v>
      </c>
      <c r="V32" s="34">
        <f t="shared" si="6"/>
        <v>0</v>
      </c>
      <c r="W32" s="34">
        <f t="shared" si="6"/>
        <v>3211384.8299999996</v>
      </c>
      <c r="X32" s="34">
        <f t="shared" si="6"/>
        <v>0</v>
      </c>
      <c r="Y32" s="34">
        <f t="shared" si="6"/>
        <v>3211384.8299999996</v>
      </c>
    </row>
    <row r="33" spans="1:25" ht="31.5" customHeight="1" x14ac:dyDescent="0.2">
      <c r="A33" s="299" t="s">
        <v>428</v>
      </c>
      <c r="B33" s="299"/>
      <c r="C33" s="299"/>
      <c r="D33" s="299"/>
      <c r="E33" s="299"/>
      <c r="F33" s="299"/>
      <c r="G33" s="7">
        <v>26</v>
      </c>
      <c r="H33" s="34">
        <f>H11+H32</f>
        <v>0</v>
      </c>
      <c r="I33" s="34">
        <f t="shared" ref="I33:Y33" si="8">I11+I32</f>
        <v>0</v>
      </c>
      <c r="J33" s="34">
        <f t="shared" si="8"/>
        <v>0</v>
      </c>
      <c r="K33" s="34">
        <f t="shared" si="8"/>
        <v>0</v>
      </c>
      <c r="L33" s="34">
        <f t="shared" si="8"/>
        <v>0</v>
      </c>
      <c r="M33" s="34">
        <f t="shared" si="8"/>
        <v>0</v>
      </c>
      <c r="N33" s="34">
        <f t="shared" si="8"/>
        <v>0</v>
      </c>
      <c r="O33" s="34">
        <f t="shared" si="8"/>
        <v>-3011269.15</v>
      </c>
      <c r="P33" s="34">
        <f t="shared" si="8"/>
        <v>0</v>
      </c>
      <c r="Q33" s="34">
        <f t="shared" si="8"/>
        <v>0</v>
      </c>
      <c r="R33" s="34">
        <f t="shared" si="8"/>
        <v>0</v>
      </c>
      <c r="S33" s="34">
        <f t="shared" ref="S33:T33" si="9">S11+S32</f>
        <v>0</v>
      </c>
      <c r="T33" s="34">
        <f t="shared" si="9"/>
        <v>321.42</v>
      </c>
      <c r="U33" s="34">
        <f t="shared" si="8"/>
        <v>6222332.5599999996</v>
      </c>
      <c r="V33" s="34">
        <f t="shared" si="8"/>
        <v>4985294</v>
      </c>
      <c r="W33" s="34">
        <f t="shared" si="8"/>
        <v>8196678.8300000001</v>
      </c>
      <c r="X33" s="34">
        <f t="shared" si="8"/>
        <v>1598</v>
      </c>
      <c r="Y33" s="34">
        <f t="shared" si="8"/>
        <v>8198276.8300000001</v>
      </c>
    </row>
    <row r="34" spans="1:25" ht="30.75" customHeight="1" x14ac:dyDescent="0.2">
      <c r="A34" s="300" t="s">
        <v>429</v>
      </c>
      <c r="B34" s="300"/>
      <c r="C34" s="300"/>
      <c r="D34" s="300"/>
      <c r="E34" s="300"/>
      <c r="F34" s="300"/>
      <c r="G34" s="8">
        <v>27</v>
      </c>
      <c r="H34" s="36">
        <f>SUM(H21:H29)</f>
        <v>-661475</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11347672</v>
      </c>
      <c r="V34" s="36">
        <f t="shared" si="10"/>
        <v>-2008657</v>
      </c>
      <c r="W34" s="36">
        <f t="shared" si="10"/>
        <v>8677540</v>
      </c>
      <c r="X34" s="36">
        <f t="shared" si="10"/>
        <v>0</v>
      </c>
      <c r="Y34" s="36">
        <f t="shared" si="10"/>
        <v>8677540</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f>H30</f>
        <v>14814630</v>
      </c>
      <c r="I36" s="33">
        <f t="shared" ref="I36:V36" si="12">I30</f>
        <v>-33895</v>
      </c>
      <c r="J36" s="33">
        <f t="shared" si="12"/>
        <v>0</v>
      </c>
      <c r="K36" s="33">
        <f t="shared" si="12"/>
        <v>191958</v>
      </c>
      <c r="L36" s="33">
        <f t="shared" si="12"/>
        <v>483564</v>
      </c>
      <c r="M36" s="33">
        <f t="shared" si="12"/>
        <v>0</v>
      </c>
      <c r="N36" s="33">
        <f t="shared" si="12"/>
        <v>0</v>
      </c>
      <c r="O36" s="33">
        <f t="shared" si="12"/>
        <v>2507021.85</v>
      </c>
      <c r="P36" s="33">
        <f t="shared" si="12"/>
        <v>133711</v>
      </c>
      <c r="Q36" s="33">
        <f t="shared" si="12"/>
        <v>0</v>
      </c>
      <c r="R36" s="33">
        <f t="shared" si="12"/>
        <v>0</v>
      </c>
      <c r="S36" s="33">
        <f t="shared" si="12"/>
        <v>0</v>
      </c>
      <c r="T36" s="33">
        <f t="shared" si="12"/>
        <v>-35169.58</v>
      </c>
      <c r="U36" s="33">
        <f t="shared" si="12"/>
        <v>-18265428.440000001</v>
      </c>
      <c r="V36" s="33">
        <f t="shared" si="12"/>
        <v>4985294</v>
      </c>
      <c r="W36" s="37">
        <f>H36+I36+J36+K36-L36+M36+N36+O36+P36+Q36+R36+U36+V36+S36+T36</f>
        <v>3814557.83</v>
      </c>
      <c r="X36" s="33">
        <f>X30</f>
        <v>63082</v>
      </c>
      <c r="Y36" s="37">
        <f t="shared" ref="Y36:Y38" si="13">W36+X36</f>
        <v>3877639.83</v>
      </c>
    </row>
    <row r="37" spans="1:25" ht="12.75" customHeight="1" x14ac:dyDescent="0.2">
      <c r="A37" s="278" t="s">
        <v>265</v>
      </c>
      <c r="B37" s="278"/>
      <c r="C37" s="278"/>
      <c r="D37" s="278"/>
      <c r="E37" s="278"/>
      <c r="F37" s="278"/>
      <c r="G37" s="6">
        <v>29</v>
      </c>
      <c r="H37" s="33"/>
      <c r="I37" s="33"/>
      <c r="J37" s="33"/>
      <c r="K37" s="33"/>
      <c r="L37" s="33"/>
      <c r="M37" s="33"/>
      <c r="N37" s="33"/>
      <c r="O37" s="33"/>
      <c r="P37" s="33"/>
      <c r="Q37" s="33"/>
      <c r="R37" s="33"/>
      <c r="S37" s="33"/>
      <c r="T37" s="33"/>
      <c r="U37" s="33"/>
      <c r="V37" s="33"/>
      <c r="W37" s="37">
        <f t="shared" ref="W37:W38" si="14">H37+I37+J37+K37-L37+M37+N37+O37+P37+Q37+R37+U37+V37+S37+T37</f>
        <v>0</v>
      </c>
      <c r="X37" s="33"/>
      <c r="Y37" s="37">
        <f t="shared" si="13"/>
        <v>0</v>
      </c>
    </row>
    <row r="38" spans="1:25" ht="12.75" customHeight="1" x14ac:dyDescent="0.2">
      <c r="A38" s="278" t="s">
        <v>266</v>
      </c>
      <c r="B38" s="278"/>
      <c r="C38" s="278"/>
      <c r="D38" s="278"/>
      <c r="E38" s="278"/>
      <c r="F38" s="278"/>
      <c r="G38" s="6">
        <v>30</v>
      </c>
      <c r="H38" s="33"/>
      <c r="I38" s="33"/>
      <c r="J38" s="33"/>
      <c r="K38" s="33"/>
      <c r="L38" s="33"/>
      <c r="M38" s="33"/>
      <c r="N38" s="33"/>
      <c r="O38" s="33"/>
      <c r="P38" s="33"/>
      <c r="Q38" s="33"/>
      <c r="R38" s="33"/>
      <c r="S38" s="33"/>
      <c r="T38" s="33"/>
      <c r="U38" s="33"/>
      <c r="V38" s="33"/>
      <c r="W38" s="37">
        <f t="shared" si="14"/>
        <v>0</v>
      </c>
      <c r="X38" s="33"/>
      <c r="Y38" s="37">
        <f t="shared" si="13"/>
        <v>0</v>
      </c>
    </row>
    <row r="39" spans="1:25" ht="25.5" customHeight="1" x14ac:dyDescent="0.2">
      <c r="A39" s="279" t="s">
        <v>430</v>
      </c>
      <c r="B39" s="279"/>
      <c r="C39" s="279"/>
      <c r="D39" s="279"/>
      <c r="E39" s="279"/>
      <c r="F39" s="279"/>
      <c r="G39" s="7">
        <v>31</v>
      </c>
      <c r="H39" s="34">
        <f>H36+H37+H38</f>
        <v>14814630</v>
      </c>
      <c r="I39" s="34">
        <f t="shared" ref="I39:Y39" si="15">I36+I37+I38</f>
        <v>-33895</v>
      </c>
      <c r="J39" s="34">
        <f t="shared" si="15"/>
        <v>0</v>
      </c>
      <c r="K39" s="34">
        <f t="shared" si="15"/>
        <v>191958</v>
      </c>
      <c r="L39" s="34">
        <f t="shared" si="15"/>
        <v>483564</v>
      </c>
      <c r="M39" s="34">
        <f t="shared" si="15"/>
        <v>0</v>
      </c>
      <c r="N39" s="34">
        <f t="shared" si="15"/>
        <v>0</v>
      </c>
      <c r="O39" s="34">
        <f t="shared" si="15"/>
        <v>2507021.85</v>
      </c>
      <c r="P39" s="34">
        <f t="shared" si="15"/>
        <v>133711</v>
      </c>
      <c r="Q39" s="34">
        <f t="shared" si="15"/>
        <v>0</v>
      </c>
      <c r="R39" s="34">
        <f t="shared" si="15"/>
        <v>0</v>
      </c>
      <c r="S39" s="34">
        <f t="shared" si="15"/>
        <v>0</v>
      </c>
      <c r="T39" s="34">
        <f t="shared" si="15"/>
        <v>-35169.58</v>
      </c>
      <c r="U39" s="34">
        <f t="shared" si="15"/>
        <v>-18265428.440000001</v>
      </c>
      <c r="V39" s="34">
        <f t="shared" si="15"/>
        <v>4985294</v>
      </c>
      <c r="W39" s="34">
        <f t="shared" si="15"/>
        <v>3814557.83</v>
      </c>
      <c r="X39" s="34">
        <f t="shared" si="15"/>
        <v>63082</v>
      </c>
      <c r="Y39" s="34">
        <f t="shared" si="15"/>
        <v>3877639.83</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c r="T40" s="33"/>
      <c r="U40" s="35">
        <v>0</v>
      </c>
      <c r="V40" s="33">
        <f>Bilanca!I95</f>
        <v>847304</v>
      </c>
      <c r="W40" s="37">
        <f t="shared" ref="W40:W58" si="16">H40+I40+J40+K40-L40+M40+N40+O40+P40+Q40+R40+U40+V40+S40+T40</f>
        <v>847304</v>
      </c>
      <c r="X40" s="33"/>
      <c r="Y40" s="37">
        <f t="shared" ref="Y40:Y58" si="17">W40+X40</f>
        <v>847304</v>
      </c>
    </row>
    <row r="41" spans="1:25" ht="12.75" customHeight="1" x14ac:dyDescent="0.2">
      <c r="A41" s="278" t="s">
        <v>268</v>
      </c>
      <c r="B41" s="278"/>
      <c r="C41" s="278"/>
      <c r="D41" s="278"/>
      <c r="E41" s="278"/>
      <c r="F41" s="278"/>
      <c r="G41" s="6">
        <v>33</v>
      </c>
      <c r="H41" s="35">
        <v>0</v>
      </c>
      <c r="I41" s="35">
        <v>0</v>
      </c>
      <c r="J41" s="35">
        <v>0</v>
      </c>
      <c r="K41" s="35">
        <v>0</v>
      </c>
      <c r="L41" s="35">
        <v>0</v>
      </c>
      <c r="M41" s="35">
        <v>0</v>
      </c>
      <c r="N41" s="33"/>
      <c r="O41" s="35">
        <v>0</v>
      </c>
      <c r="P41" s="35">
        <v>0</v>
      </c>
      <c r="Q41" s="35">
        <v>0</v>
      </c>
      <c r="R41" s="35">
        <v>0</v>
      </c>
      <c r="S41" s="33"/>
      <c r="T41" s="33">
        <f>Bilanca!I90-Bilanca!H90</f>
        <v>-60055</v>
      </c>
      <c r="U41" s="35">
        <v>0</v>
      </c>
      <c r="V41" s="35">
        <v>0</v>
      </c>
      <c r="W41" s="37">
        <f t="shared" si="16"/>
        <v>-60055</v>
      </c>
      <c r="X41" s="33"/>
      <c r="Y41" s="37">
        <f t="shared" si="17"/>
        <v>-60055</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f>Bilanca!I84-Bilanca!H84</f>
        <v>-335805.84159864625</v>
      </c>
      <c r="P42" s="35">
        <v>0</v>
      </c>
      <c r="Q42" s="35">
        <v>0</v>
      </c>
      <c r="R42" s="35">
        <v>0</v>
      </c>
      <c r="S42" s="33"/>
      <c r="T42" s="33"/>
      <c r="U42" s="33">
        <v>603279</v>
      </c>
      <c r="V42" s="33"/>
      <c r="W42" s="37">
        <f t="shared" si="16"/>
        <v>267473.15840135375</v>
      </c>
      <c r="X42" s="33"/>
      <c r="Y42" s="37">
        <f t="shared" si="17"/>
        <v>267473.15840135375</v>
      </c>
    </row>
    <row r="43" spans="1:25" ht="20.25" customHeight="1" x14ac:dyDescent="0.2">
      <c r="A43" s="278" t="s">
        <v>419</v>
      </c>
      <c r="B43" s="278"/>
      <c r="C43" s="278"/>
      <c r="D43" s="278"/>
      <c r="E43" s="278"/>
      <c r="F43" s="278"/>
      <c r="G43" s="6">
        <v>35</v>
      </c>
      <c r="H43" s="35">
        <v>0</v>
      </c>
      <c r="I43" s="35">
        <v>0</v>
      </c>
      <c r="J43" s="35">
        <v>0</v>
      </c>
      <c r="K43" s="35">
        <v>0</v>
      </c>
      <c r="L43" s="35">
        <v>0</v>
      </c>
      <c r="M43" s="35">
        <v>0</v>
      </c>
      <c r="N43" s="35">
        <v>0</v>
      </c>
      <c r="O43" s="35">
        <v>0</v>
      </c>
      <c r="P43" s="33"/>
      <c r="Q43" s="35">
        <v>0</v>
      </c>
      <c r="R43" s="35">
        <v>0</v>
      </c>
      <c r="S43" s="33"/>
      <c r="T43" s="33"/>
      <c r="U43" s="33"/>
      <c r="V43" s="33"/>
      <c r="W43" s="37">
        <f t="shared" si="16"/>
        <v>0</v>
      </c>
      <c r="X43" s="33"/>
      <c r="Y43" s="37">
        <f t="shared" si="17"/>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c r="R44" s="35">
        <v>0</v>
      </c>
      <c r="S44" s="33"/>
      <c r="T44" s="33"/>
      <c r="U44" s="33"/>
      <c r="V44" s="33"/>
      <c r="W44" s="37">
        <f t="shared" si="16"/>
        <v>0</v>
      </c>
      <c r="X44" s="33"/>
      <c r="Y44" s="37">
        <f t="shared" si="17"/>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c r="S45" s="33"/>
      <c r="T45" s="33"/>
      <c r="U45" s="33"/>
      <c r="V45" s="33"/>
      <c r="W45" s="37">
        <f t="shared" si="16"/>
        <v>0</v>
      </c>
      <c r="X45" s="33"/>
      <c r="Y45" s="37">
        <f t="shared" si="17"/>
        <v>0</v>
      </c>
    </row>
    <row r="46" spans="1:25" ht="21" customHeight="1" x14ac:dyDescent="0.2">
      <c r="A46" s="278" t="s">
        <v>281</v>
      </c>
      <c r="B46" s="278"/>
      <c r="C46" s="278"/>
      <c r="D46" s="278"/>
      <c r="E46" s="278"/>
      <c r="F46" s="278"/>
      <c r="G46" s="6">
        <v>38</v>
      </c>
      <c r="H46" s="35">
        <v>0</v>
      </c>
      <c r="I46" s="35">
        <v>0</v>
      </c>
      <c r="J46" s="35">
        <v>0</v>
      </c>
      <c r="K46" s="35">
        <v>0</v>
      </c>
      <c r="L46" s="35">
        <v>0</v>
      </c>
      <c r="M46" s="35">
        <v>0</v>
      </c>
      <c r="N46" s="33"/>
      <c r="O46" s="33"/>
      <c r="P46" s="33"/>
      <c r="Q46" s="33"/>
      <c r="R46" s="33"/>
      <c r="S46" s="33"/>
      <c r="T46" s="33"/>
      <c r="U46" s="33"/>
      <c r="V46" s="33"/>
      <c r="W46" s="37">
        <f t="shared" si="16"/>
        <v>0</v>
      </c>
      <c r="X46" s="33"/>
      <c r="Y46" s="37">
        <f t="shared" si="17"/>
        <v>0</v>
      </c>
    </row>
    <row r="47" spans="1:25" ht="12.75" customHeight="1" x14ac:dyDescent="0.2">
      <c r="A47" s="278" t="s">
        <v>273</v>
      </c>
      <c r="B47" s="278"/>
      <c r="C47" s="278"/>
      <c r="D47" s="278"/>
      <c r="E47" s="278"/>
      <c r="F47" s="278"/>
      <c r="G47" s="6">
        <v>39</v>
      </c>
      <c r="H47" s="35">
        <v>0</v>
      </c>
      <c r="I47" s="35">
        <v>0</v>
      </c>
      <c r="J47" s="35">
        <v>0</v>
      </c>
      <c r="K47" s="35">
        <v>0</v>
      </c>
      <c r="L47" s="35">
        <v>0</v>
      </c>
      <c r="M47" s="35">
        <v>0</v>
      </c>
      <c r="N47" s="33"/>
      <c r="O47" s="33"/>
      <c r="P47" s="33"/>
      <c r="Q47" s="33"/>
      <c r="R47" s="33"/>
      <c r="S47" s="33"/>
      <c r="T47" s="33"/>
      <c r="U47" s="33"/>
      <c r="V47" s="33"/>
      <c r="W47" s="37">
        <f t="shared" si="16"/>
        <v>0</v>
      </c>
      <c r="X47" s="33"/>
      <c r="Y47" s="37">
        <f t="shared" si="17"/>
        <v>0</v>
      </c>
    </row>
    <row r="48" spans="1:25" ht="12.75" customHeight="1" x14ac:dyDescent="0.2">
      <c r="A48" s="278" t="s">
        <v>274</v>
      </c>
      <c r="B48" s="278"/>
      <c r="C48" s="278"/>
      <c r="D48" s="278"/>
      <c r="E48" s="278"/>
      <c r="F48" s="278"/>
      <c r="G48" s="6">
        <v>40</v>
      </c>
      <c r="H48" s="33"/>
      <c r="I48" s="33"/>
      <c r="J48" s="33"/>
      <c r="K48" s="33"/>
      <c r="L48" s="33"/>
      <c r="M48" s="33"/>
      <c r="N48" s="33"/>
      <c r="O48" s="33"/>
      <c r="P48" s="33"/>
      <c r="Q48" s="33"/>
      <c r="R48" s="33"/>
      <c r="S48" s="33"/>
      <c r="T48" s="33"/>
      <c r="U48" s="33">
        <f>-119444-6058</f>
        <v>-125502</v>
      </c>
      <c r="V48" s="33"/>
      <c r="W48" s="37">
        <f t="shared" si="16"/>
        <v>-125502</v>
      </c>
      <c r="X48" s="33"/>
      <c r="Y48" s="37">
        <f t="shared" si="17"/>
        <v>-125502</v>
      </c>
    </row>
    <row r="49" spans="1:25" ht="12.75" customHeight="1" x14ac:dyDescent="0.2">
      <c r="A49" s="278" t="s">
        <v>275</v>
      </c>
      <c r="B49" s="278"/>
      <c r="C49" s="278"/>
      <c r="D49" s="278"/>
      <c r="E49" s="278"/>
      <c r="F49" s="278"/>
      <c r="G49" s="6">
        <v>41</v>
      </c>
      <c r="H49" s="35">
        <v>0</v>
      </c>
      <c r="I49" s="35">
        <v>0</v>
      </c>
      <c r="J49" s="35">
        <v>0</v>
      </c>
      <c r="K49" s="35">
        <v>0</v>
      </c>
      <c r="L49" s="35">
        <v>0</v>
      </c>
      <c r="M49" s="35">
        <v>0</v>
      </c>
      <c r="N49" s="33"/>
      <c r="O49" s="33"/>
      <c r="P49" s="33"/>
      <c r="Q49" s="33"/>
      <c r="R49" s="33"/>
      <c r="S49" s="33"/>
      <c r="T49" s="33"/>
      <c r="U49" s="33"/>
      <c r="V49" s="33"/>
      <c r="W49" s="37">
        <f t="shared" si="16"/>
        <v>0</v>
      </c>
      <c r="X49" s="33"/>
      <c r="Y49" s="37">
        <f t="shared" si="17"/>
        <v>0</v>
      </c>
    </row>
    <row r="50" spans="1:25" ht="24" customHeight="1" x14ac:dyDescent="0.2">
      <c r="A50" s="278" t="s">
        <v>420</v>
      </c>
      <c r="B50" s="278"/>
      <c r="C50" s="278"/>
      <c r="D50" s="278"/>
      <c r="E50" s="278"/>
      <c r="F50" s="278"/>
      <c r="G50" s="6">
        <v>42</v>
      </c>
      <c r="H50" s="33"/>
      <c r="I50" s="33"/>
      <c r="J50" s="33"/>
      <c r="K50" s="33"/>
      <c r="L50" s="33"/>
      <c r="M50" s="33"/>
      <c r="N50" s="33"/>
      <c r="O50" s="33"/>
      <c r="P50" s="33"/>
      <c r="Q50" s="33"/>
      <c r="R50" s="33"/>
      <c r="S50" s="33"/>
      <c r="T50" s="33"/>
      <c r="U50" s="33"/>
      <c r="V50" s="33"/>
      <c r="W50" s="37">
        <f t="shared" si="16"/>
        <v>0</v>
      </c>
      <c r="X50" s="33"/>
      <c r="Y50" s="37">
        <f t="shared" si="17"/>
        <v>0</v>
      </c>
    </row>
    <row r="51" spans="1:25" ht="26.25" customHeight="1" x14ac:dyDescent="0.2">
      <c r="A51" s="278" t="s">
        <v>421</v>
      </c>
      <c r="B51" s="278"/>
      <c r="C51" s="278"/>
      <c r="D51" s="278"/>
      <c r="E51" s="278"/>
      <c r="F51" s="278"/>
      <c r="G51" s="6">
        <v>43</v>
      </c>
      <c r="H51" s="33"/>
      <c r="I51" s="33"/>
      <c r="J51" s="33"/>
      <c r="K51" s="33"/>
      <c r="L51" s="33"/>
      <c r="M51" s="33"/>
      <c r="N51" s="33"/>
      <c r="O51" s="33"/>
      <c r="P51" s="33"/>
      <c r="Q51" s="33"/>
      <c r="R51" s="33"/>
      <c r="S51" s="33"/>
      <c r="T51" s="33"/>
      <c r="U51" s="33"/>
      <c r="V51" s="33"/>
      <c r="W51" s="37">
        <f t="shared" si="16"/>
        <v>0</v>
      </c>
      <c r="X51" s="33"/>
      <c r="Y51" s="37">
        <f t="shared" si="17"/>
        <v>0</v>
      </c>
    </row>
    <row r="52" spans="1:25" ht="22.5" customHeight="1" x14ac:dyDescent="0.2">
      <c r="A52" s="278" t="s">
        <v>422</v>
      </c>
      <c r="B52" s="278"/>
      <c r="C52" s="278"/>
      <c r="D52" s="278"/>
      <c r="E52" s="278"/>
      <c r="F52" s="278"/>
      <c r="G52" s="6">
        <v>44</v>
      </c>
      <c r="H52" s="33"/>
      <c r="I52" s="33"/>
      <c r="J52" s="33"/>
      <c r="K52" s="33"/>
      <c r="L52" s="33"/>
      <c r="M52" s="33"/>
      <c r="N52" s="33"/>
      <c r="O52" s="33"/>
      <c r="P52" s="33"/>
      <c r="Q52" s="33"/>
      <c r="R52" s="33"/>
      <c r="S52" s="33"/>
      <c r="T52" s="33"/>
      <c r="U52" s="33"/>
      <c r="V52" s="33"/>
      <c r="W52" s="37">
        <f t="shared" si="16"/>
        <v>0</v>
      </c>
      <c r="X52" s="33"/>
      <c r="Y52" s="37">
        <f t="shared" si="17"/>
        <v>0</v>
      </c>
    </row>
    <row r="53" spans="1:25" ht="12.75" customHeight="1" x14ac:dyDescent="0.2">
      <c r="A53" s="278" t="s">
        <v>276</v>
      </c>
      <c r="B53" s="278"/>
      <c r="C53" s="278"/>
      <c r="D53" s="278"/>
      <c r="E53" s="278"/>
      <c r="F53" s="278"/>
      <c r="G53" s="6">
        <v>45</v>
      </c>
      <c r="H53" s="33"/>
      <c r="I53" s="33"/>
      <c r="J53" s="33"/>
      <c r="K53" s="33"/>
      <c r="L53" s="33"/>
      <c r="M53" s="33"/>
      <c r="N53" s="33"/>
      <c r="O53" s="33"/>
      <c r="P53" s="33"/>
      <c r="Q53" s="33"/>
      <c r="R53" s="33"/>
      <c r="S53" s="33"/>
      <c r="T53" s="33"/>
      <c r="U53" s="33"/>
      <c r="V53" s="33"/>
      <c r="W53" s="37">
        <f t="shared" si="16"/>
        <v>0</v>
      </c>
      <c r="X53" s="33"/>
      <c r="Y53" s="37">
        <f t="shared" si="17"/>
        <v>0</v>
      </c>
    </row>
    <row r="54" spans="1:25" ht="12.75" customHeight="1" x14ac:dyDescent="0.2">
      <c r="A54" s="278" t="s">
        <v>423</v>
      </c>
      <c r="B54" s="278"/>
      <c r="C54" s="278"/>
      <c r="D54" s="278"/>
      <c r="E54" s="278"/>
      <c r="F54" s="278"/>
      <c r="G54" s="6">
        <v>46</v>
      </c>
      <c r="H54" s="33"/>
      <c r="I54" s="33"/>
      <c r="J54" s="33"/>
      <c r="K54" s="33"/>
      <c r="L54" s="33"/>
      <c r="M54" s="33"/>
      <c r="N54" s="33"/>
      <c r="O54" s="33"/>
      <c r="P54" s="33"/>
      <c r="Q54" s="33"/>
      <c r="R54" s="33"/>
      <c r="S54" s="33"/>
      <c r="T54" s="33"/>
      <c r="U54" s="33"/>
      <c r="V54" s="33"/>
      <c r="W54" s="37">
        <f t="shared" si="16"/>
        <v>0</v>
      </c>
      <c r="X54" s="33"/>
      <c r="Y54" s="37">
        <f t="shared" si="17"/>
        <v>0</v>
      </c>
    </row>
    <row r="55" spans="1:25" ht="12.75" customHeight="1" x14ac:dyDescent="0.2">
      <c r="A55" s="278" t="s">
        <v>431</v>
      </c>
      <c r="B55" s="278"/>
      <c r="C55" s="278"/>
      <c r="D55" s="278"/>
      <c r="E55" s="278"/>
      <c r="F55" s="278"/>
      <c r="G55" s="6">
        <v>47</v>
      </c>
      <c r="H55" s="33"/>
      <c r="I55" s="33"/>
      <c r="J55" s="33"/>
      <c r="K55" s="33"/>
      <c r="L55" s="33"/>
      <c r="M55" s="33"/>
      <c r="N55" s="33"/>
      <c r="O55" s="33"/>
      <c r="P55" s="33"/>
      <c r="Q55" s="33"/>
      <c r="R55" s="33"/>
      <c r="S55" s="33"/>
      <c r="T55" s="33"/>
      <c r="U55" s="33"/>
      <c r="V55" s="33"/>
      <c r="W55" s="37">
        <f t="shared" si="16"/>
        <v>0</v>
      </c>
      <c r="X55" s="33"/>
      <c r="Y55" s="37">
        <f t="shared" si="17"/>
        <v>0</v>
      </c>
    </row>
    <row r="56" spans="1:25" ht="12.75" customHeight="1" x14ac:dyDescent="0.2">
      <c r="A56" s="278" t="s">
        <v>424</v>
      </c>
      <c r="B56" s="278"/>
      <c r="C56" s="278"/>
      <c r="D56" s="278"/>
      <c r="E56" s="278"/>
      <c r="F56" s="278"/>
      <c r="G56" s="6">
        <v>48</v>
      </c>
      <c r="H56" s="33"/>
      <c r="I56" s="33"/>
      <c r="J56" s="33"/>
      <c r="K56" s="33"/>
      <c r="L56" s="33"/>
      <c r="M56" s="33"/>
      <c r="N56" s="33"/>
      <c r="O56" s="33"/>
      <c r="P56" s="33"/>
      <c r="Q56" s="33"/>
      <c r="R56" s="33"/>
      <c r="S56" s="33"/>
      <c r="T56" s="33"/>
      <c r="U56" s="33"/>
      <c r="V56" s="33"/>
      <c r="W56" s="37">
        <f t="shared" si="16"/>
        <v>0</v>
      </c>
      <c r="X56" s="33"/>
      <c r="Y56" s="37">
        <f t="shared" si="17"/>
        <v>0</v>
      </c>
    </row>
    <row r="57" spans="1:25" ht="12.75" customHeight="1" x14ac:dyDescent="0.2">
      <c r="A57" s="278" t="s">
        <v>432</v>
      </c>
      <c r="B57" s="278"/>
      <c r="C57" s="278"/>
      <c r="D57" s="278"/>
      <c r="E57" s="278"/>
      <c r="F57" s="278"/>
      <c r="G57" s="6">
        <v>49</v>
      </c>
      <c r="H57" s="33"/>
      <c r="I57" s="33"/>
      <c r="J57" s="33"/>
      <c r="K57" s="33"/>
      <c r="L57" s="33"/>
      <c r="M57" s="33"/>
      <c r="N57" s="33"/>
      <c r="O57" s="33"/>
      <c r="P57" s="33"/>
      <c r="Q57" s="33"/>
      <c r="R57" s="33"/>
      <c r="S57" s="33"/>
      <c r="T57" s="33"/>
      <c r="U57" s="33">
        <f>V36</f>
        <v>4985294</v>
      </c>
      <c r="V57" s="33">
        <f>-U57</f>
        <v>-4985294</v>
      </c>
      <c r="W57" s="37">
        <f t="shared" si="16"/>
        <v>0</v>
      </c>
      <c r="X57" s="33"/>
      <c r="Y57" s="37">
        <f t="shared" si="17"/>
        <v>0</v>
      </c>
    </row>
    <row r="58" spans="1:25" ht="12.75" customHeight="1" x14ac:dyDescent="0.2">
      <c r="A58" s="278" t="s">
        <v>426</v>
      </c>
      <c r="B58" s="278"/>
      <c r="C58" s="278"/>
      <c r="D58" s="278"/>
      <c r="E58" s="278"/>
      <c r="F58" s="278"/>
      <c r="G58" s="6">
        <v>50</v>
      </c>
      <c r="H58" s="33"/>
      <c r="I58" s="33"/>
      <c r="J58" s="33"/>
      <c r="K58" s="33"/>
      <c r="L58" s="33"/>
      <c r="M58" s="33"/>
      <c r="N58" s="33"/>
      <c r="O58" s="33"/>
      <c r="P58" s="33"/>
      <c r="Q58" s="33"/>
      <c r="R58" s="33"/>
      <c r="S58" s="33"/>
      <c r="T58" s="33"/>
      <c r="U58" s="33"/>
      <c r="V58" s="33"/>
      <c r="W58" s="37">
        <f t="shared" si="16"/>
        <v>0</v>
      </c>
      <c r="X58" s="33"/>
      <c r="Y58" s="37">
        <f t="shared" si="17"/>
        <v>0</v>
      </c>
    </row>
    <row r="59" spans="1:25" ht="25.5" customHeight="1" x14ac:dyDescent="0.2">
      <c r="A59" s="296" t="s">
        <v>433</v>
      </c>
      <c r="B59" s="296"/>
      <c r="C59" s="296"/>
      <c r="D59" s="296"/>
      <c r="E59" s="296"/>
      <c r="F59" s="296"/>
      <c r="G59" s="8">
        <v>51</v>
      </c>
      <c r="H59" s="36">
        <f>SUM(H39:H58)</f>
        <v>14814630</v>
      </c>
      <c r="I59" s="36">
        <f t="shared" ref="I59:Y59" si="18">SUM(I39:I58)</f>
        <v>-33895</v>
      </c>
      <c r="J59" s="36">
        <f t="shared" si="18"/>
        <v>0</v>
      </c>
      <c r="K59" s="36">
        <f t="shared" si="18"/>
        <v>191958</v>
      </c>
      <c r="L59" s="36">
        <f t="shared" si="18"/>
        <v>483564</v>
      </c>
      <c r="M59" s="36">
        <f t="shared" si="18"/>
        <v>0</v>
      </c>
      <c r="N59" s="36">
        <f t="shared" si="18"/>
        <v>0</v>
      </c>
      <c r="O59" s="36">
        <f t="shared" si="18"/>
        <v>2171216.0084013538</v>
      </c>
      <c r="P59" s="36">
        <f t="shared" si="18"/>
        <v>133711</v>
      </c>
      <c r="Q59" s="36">
        <f t="shared" si="18"/>
        <v>0</v>
      </c>
      <c r="R59" s="36">
        <f t="shared" si="18"/>
        <v>0</v>
      </c>
      <c r="S59" s="36">
        <f t="shared" si="18"/>
        <v>0</v>
      </c>
      <c r="T59" s="36">
        <f t="shared" si="18"/>
        <v>-95224.58</v>
      </c>
      <c r="U59" s="36">
        <f t="shared" si="18"/>
        <v>-12802357.440000001</v>
      </c>
      <c r="V59" s="36">
        <f t="shared" si="18"/>
        <v>847304</v>
      </c>
      <c r="W59" s="36">
        <f t="shared" si="18"/>
        <v>4743777.9884013534</v>
      </c>
      <c r="X59" s="36">
        <f t="shared" si="18"/>
        <v>63082</v>
      </c>
      <c r="Y59" s="36">
        <f t="shared" si="18"/>
        <v>4806859.9884013534</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434</v>
      </c>
      <c r="B61" s="299"/>
      <c r="C61" s="299"/>
      <c r="D61" s="299"/>
      <c r="E61" s="299"/>
      <c r="F61" s="299"/>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-335805.84159864625</v>
      </c>
      <c r="P61" s="37">
        <f t="shared" si="19"/>
        <v>0</v>
      </c>
      <c r="Q61" s="37">
        <f t="shared" si="19"/>
        <v>0</v>
      </c>
      <c r="R61" s="37">
        <f t="shared" si="19"/>
        <v>0</v>
      </c>
      <c r="S61" s="37">
        <f t="shared" ref="S61:T61" si="20">SUM(S41:S49)</f>
        <v>0</v>
      </c>
      <c r="T61" s="37">
        <f t="shared" si="20"/>
        <v>-60055</v>
      </c>
      <c r="U61" s="37">
        <f t="shared" si="19"/>
        <v>477777</v>
      </c>
      <c r="V61" s="37">
        <f t="shared" si="19"/>
        <v>0</v>
      </c>
      <c r="W61" s="37">
        <f t="shared" si="19"/>
        <v>81916.15840135375</v>
      </c>
      <c r="X61" s="37">
        <f t="shared" si="19"/>
        <v>0</v>
      </c>
      <c r="Y61" s="37">
        <f t="shared" si="19"/>
        <v>81916.15840135375</v>
      </c>
    </row>
    <row r="62" spans="1:25" ht="27.75" customHeight="1" x14ac:dyDescent="0.2">
      <c r="A62" s="299" t="s">
        <v>435</v>
      </c>
      <c r="B62" s="299"/>
      <c r="C62" s="299"/>
      <c r="D62" s="299"/>
      <c r="E62" s="299"/>
      <c r="F62" s="299"/>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-335805.84159864625</v>
      </c>
      <c r="P62" s="37">
        <f t="shared" si="21"/>
        <v>0</v>
      </c>
      <c r="Q62" s="37">
        <f t="shared" si="21"/>
        <v>0</v>
      </c>
      <c r="R62" s="37">
        <f t="shared" si="21"/>
        <v>0</v>
      </c>
      <c r="S62" s="37">
        <f t="shared" ref="S62:T62" si="22">S40+S61</f>
        <v>0</v>
      </c>
      <c r="T62" s="37">
        <f t="shared" si="22"/>
        <v>-60055</v>
      </c>
      <c r="U62" s="37">
        <f t="shared" si="21"/>
        <v>477777</v>
      </c>
      <c r="V62" s="37">
        <f t="shared" si="21"/>
        <v>847304</v>
      </c>
      <c r="W62" s="37">
        <f t="shared" si="21"/>
        <v>929220.15840135375</v>
      </c>
      <c r="X62" s="37">
        <f t="shared" si="21"/>
        <v>0</v>
      </c>
      <c r="Y62" s="37">
        <f t="shared" si="21"/>
        <v>929220.15840135375</v>
      </c>
    </row>
    <row r="63" spans="1:25" ht="29.25" customHeight="1" x14ac:dyDescent="0.2">
      <c r="A63" s="300" t="s">
        <v>436</v>
      </c>
      <c r="B63" s="300"/>
      <c r="C63" s="300"/>
      <c r="D63" s="300"/>
      <c r="E63" s="300"/>
      <c r="F63" s="300"/>
      <c r="G63" s="8">
        <v>54</v>
      </c>
      <c r="H63" s="38">
        <f>SUM(H50:H58)</f>
        <v>0</v>
      </c>
      <c r="I63" s="38">
        <f t="shared" ref="I63:Y63" si="23">SUM(I50:I58)</f>
        <v>0</v>
      </c>
      <c r="J63" s="38">
        <f t="shared" si="23"/>
        <v>0</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4985294</v>
      </c>
      <c r="V63" s="38">
        <f t="shared" si="23"/>
        <v>-4985294</v>
      </c>
      <c r="W63" s="38">
        <f t="shared" si="23"/>
        <v>0</v>
      </c>
      <c r="X63" s="38">
        <f t="shared" si="23"/>
        <v>0</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1"/>
  <sheetViews>
    <sheetView topLeftCell="A2" zoomScaleNormal="100" workbookViewId="0">
      <selection activeCell="K1" sqref="K1"/>
    </sheetView>
  </sheetViews>
  <sheetFormatPr defaultRowHeight="12.75" x14ac:dyDescent="0.2"/>
  <cols>
    <col min="9" max="9" width="95" customWidth="1"/>
  </cols>
  <sheetData>
    <row r="1" spans="1:9" ht="64.5" customHeight="1" x14ac:dyDescent="0.2">
      <c r="A1" s="302" t="s">
        <v>463</v>
      </c>
      <c r="B1" s="303"/>
      <c r="C1" s="303"/>
      <c r="D1" s="303"/>
      <c r="E1" s="303"/>
      <c r="F1" s="303"/>
      <c r="G1" s="303"/>
      <c r="H1" s="303"/>
      <c r="I1" s="303"/>
    </row>
    <row r="2" spans="1:9" ht="64.5" customHeight="1" x14ac:dyDescent="0.2">
      <c r="A2" s="303"/>
      <c r="B2" s="303"/>
      <c r="C2" s="303"/>
      <c r="D2" s="303"/>
      <c r="E2" s="303"/>
      <c r="F2" s="303"/>
      <c r="G2" s="303"/>
      <c r="H2" s="303"/>
      <c r="I2" s="303"/>
    </row>
    <row r="3" spans="1:9" ht="64.5" customHeight="1" x14ac:dyDescent="0.2">
      <c r="A3" s="303"/>
      <c r="B3" s="303"/>
      <c r="C3" s="303"/>
      <c r="D3" s="303"/>
      <c r="E3" s="303"/>
      <c r="F3" s="303"/>
      <c r="G3" s="303"/>
      <c r="H3" s="303"/>
      <c r="I3" s="303"/>
    </row>
    <row r="4" spans="1:9" ht="64.5" customHeight="1" x14ac:dyDescent="0.2">
      <c r="A4" s="303"/>
      <c r="B4" s="303"/>
      <c r="C4" s="303"/>
      <c r="D4" s="303"/>
      <c r="E4" s="303"/>
      <c r="F4" s="303"/>
      <c r="G4" s="303"/>
      <c r="H4" s="303"/>
      <c r="I4" s="303"/>
    </row>
    <row r="5" spans="1:9" ht="64.5" customHeight="1" x14ac:dyDescent="0.2">
      <c r="A5" s="303"/>
      <c r="B5" s="303"/>
      <c r="C5" s="303"/>
      <c r="D5" s="303"/>
      <c r="E5" s="303"/>
      <c r="F5" s="303"/>
      <c r="G5" s="303"/>
      <c r="H5" s="303"/>
      <c r="I5" s="303"/>
    </row>
    <row r="6" spans="1:9" ht="64.5" customHeight="1" x14ac:dyDescent="0.2">
      <c r="A6" s="303"/>
      <c r="B6" s="303"/>
      <c r="C6" s="303"/>
      <c r="D6" s="303"/>
      <c r="E6" s="303"/>
      <c r="F6" s="303"/>
      <c r="G6" s="303"/>
      <c r="H6" s="303"/>
      <c r="I6" s="303"/>
    </row>
    <row r="7" spans="1:9" ht="64.5" customHeight="1" x14ac:dyDescent="0.2">
      <c r="A7" s="303"/>
      <c r="B7" s="303"/>
      <c r="C7" s="303"/>
      <c r="D7" s="303"/>
      <c r="E7" s="303"/>
      <c r="F7" s="303"/>
      <c r="G7" s="303"/>
      <c r="H7" s="303"/>
      <c r="I7" s="303"/>
    </row>
    <row r="8" spans="1:9" ht="64.5" customHeight="1" x14ac:dyDescent="0.2">
      <c r="A8" s="303"/>
      <c r="B8" s="303"/>
      <c r="C8" s="303"/>
      <c r="D8" s="303"/>
      <c r="E8" s="303"/>
      <c r="F8" s="303"/>
      <c r="G8" s="303"/>
      <c r="H8" s="303"/>
      <c r="I8" s="303"/>
    </row>
    <row r="9" spans="1:9" ht="64.5" customHeight="1" x14ac:dyDescent="0.2">
      <c r="A9" s="303"/>
      <c r="B9" s="303"/>
      <c r="C9" s="303"/>
      <c r="D9" s="303"/>
      <c r="E9" s="303"/>
      <c r="F9" s="303"/>
      <c r="G9" s="303"/>
      <c r="H9" s="303"/>
      <c r="I9" s="303"/>
    </row>
    <row r="10" spans="1:9" ht="64.5" customHeight="1" x14ac:dyDescent="0.2">
      <c r="A10" s="303"/>
      <c r="B10" s="303"/>
      <c r="C10" s="303"/>
      <c r="D10" s="303"/>
      <c r="E10" s="303"/>
      <c r="F10" s="303"/>
      <c r="G10" s="303"/>
      <c r="H10" s="303"/>
      <c r="I10" s="303"/>
    </row>
    <row r="11" spans="1:9" ht="64.5" customHeight="1" x14ac:dyDescent="0.2">
      <c r="A11" s="303"/>
      <c r="B11" s="303"/>
      <c r="C11" s="303"/>
      <c r="D11" s="303"/>
      <c r="E11" s="303"/>
      <c r="F11" s="303"/>
      <c r="G11" s="303"/>
      <c r="H11" s="303"/>
      <c r="I11" s="303"/>
    </row>
    <row r="12" spans="1:9" ht="64.5" customHeight="1" x14ac:dyDescent="0.2">
      <c r="A12" s="303"/>
      <c r="B12" s="303"/>
      <c r="C12" s="303"/>
      <c r="D12" s="303"/>
      <c r="E12" s="303"/>
      <c r="F12" s="303"/>
      <c r="G12" s="303"/>
      <c r="H12" s="303"/>
      <c r="I12" s="303"/>
    </row>
    <row r="13" spans="1:9" ht="64.5" customHeight="1" x14ac:dyDescent="0.2">
      <c r="A13" s="303"/>
      <c r="B13" s="303"/>
      <c r="C13" s="303"/>
      <c r="D13" s="303"/>
      <c r="E13" s="303"/>
      <c r="F13" s="303"/>
      <c r="G13" s="303"/>
      <c r="H13" s="303"/>
      <c r="I13" s="303"/>
    </row>
    <row r="14" spans="1:9" ht="64.5" customHeight="1" x14ac:dyDescent="0.2">
      <c r="A14" s="303"/>
      <c r="B14" s="303"/>
      <c r="C14" s="303"/>
      <c r="D14" s="303"/>
      <c r="E14" s="303"/>
      <c r="F14" s="303"/>
      <c r="G14" s="303"/>
      <c r="H14" s="303"/>
      <c r="I14" s="303"/>
    </row>
    <row r="15" spans="1:9" ht="64.5" customHeight="1" x14ac:dyDescent="0.2">
      <c r="A15" s="303"/>
      <c r="B15" s="303"/>
      <c r="C15" s="303"/>
      <c r="D15" s="303"/>
      <c r="E15" s="303"/>
      <c r="F15" s="303"/>
      <c r="G15" s="303"/>
      <c r="H15" s="303"/>
      <c r="I15" s="303"/>
    </row>
    <row r="16" spans="1:9" ht="64.5" customHeight="1" x14ac:dyDescent="0.2">
      <c r="A16" s="303"/>
      <c r="B16" s="303"/>
      <c r="C16" s="303"/>
      <c r="D16" s="303"/>
      <c r="E16" s="303"/>
      <c r="F16" s="303"/>
      <c r="G16" s="303"/>
      <c r="H16" s="303"/>
      <c r="I16" s="303"/>
    </row>
    <row r="17" spans="1:9" ht="64.5" customHeight="1" x14ac:dyDescent="0.2">
      <c r="A17" s="303"/>
      <c r="B17" s="303"/>
      <c r="C17" s="303"/>
      <c r="D17" s="303"/>
      <c r="E17" s="303"/>
      <c r="F17" s="303"/>
      <c r="G17" s="303"/>
      <c r="H17" s="303"/>
      <c r="I17" s="303"/>
    </row>
    <row r="18" spans="1:9" ht="64.5" customHeight="1" x14ac:dyDescent="0.2">
      <c r="A18" s="303"/>
      <c r="B18" s="303"/>
      <c r="C18" s="303"/>
      <c r="D18" s="303"/>
      <c r="E18" s="303"/>
      <c r="F18" s="303"/>
      <c r="G18" s="303"/>
      <c r="H18" s="303"/>
      <c r="I18" s="303"/>
    </row>
    <row r="19" spans="1:9" ht="64.5" customHeight="1" x14ac:dyDescent="0.2">
      <c r="A19" s="303"/>
      <c r="B19" s="303"/>
      <c r="C19" s="303"/>
      <c r="D19" s="303"/>
      <c r="E19" s="303"/>
      <c r="F19" s="303"/>
      <c r="G19" s="303"/>
      <c r="H19" s="303"/>
      <c r="I19" s="303"/>
    </row>
    <row r="20" spans="1:9" ht="24.75" customHeight="1" x14ac:dyDescent="0.2">
      <c r="A20" s="303"/>
      <c r="B20" s="303"/>
      <c r="C20" s="303"/>
      <c r="D20" s="303"/>
      <c r="E20" s="303"/>
      <c r="F20" s="303"/>
      <c r="G20" s="303"/>
      <c r="H20" s="303"/>
      <c r="I20" s="303"/>
    </row>
    <row r="21" spans="1:9" ht="24.75" customHeight="1" x14ac:dyDescent="0.2">
      <c r="A21" s="303"/>
      <c r="B21" s="303"/>
      <c r="C21" s="303"/>
      <c r="D21" s="303"/>
      <c r="E21" s="303"/>
      <c r="F21" s="303"/>
      <c r="G21" s="303"/>
      <c r="H21" s="303"/>
      <c r="I21" s="303"/>
    </row>
    <row r="22" spans="1:9" ht="24.75" customHeight="1" x14ac:dyDescent="0.2">
      <c r="A22" s="303"/>
      <c r="B22" s="303"/>
      <c r="C22" s="303"/>
      <c r="D22" s="303"/>
      <c r="E22" s="303"/>
      <c r="F22" s="303"/>
      <c r="G22" s="303"/>
      <c r="H22" s="303"/>
      <c r="I22" s="303"/>
    </row>
    <row r="23" spans="1:9" ht="24.75" customHeight="1" x14ac:dyDescent="0.2">
      <c r="A23" s="303"/>
      <c r="B23" s="303"/>
      <c r="C23" s="303"/>
      <c r="D23" s="303"/>
      <c r="E23" s="303"/>
      <c r="F23" s="303"/>
      <c r="G23" s="303"/>
      <c r="H23" s="303"/>
      <c r="I23" s="303"/>
    </row>
    <row r="24" spans="1:9" ht="24.75" customHeight="1" x14ac:dyDescent="0.2">
      <c r="A24" s="303"/>
      <c r="B24" s="303"/>
      <c r="C24" s="303"/>
      <c r="D24" s="303"/>
      <c r="E24" s="303"/>
      <c r="F24" s="303"/>
      <c r="G24" s="303"/>
      <c r="H24" s="303"/>
      <c r="I24" s="303"/>
    </row>
    <row r="25" spans="1:9" ht="24.75" customHeight="1" x14ac:dyDescent="0.2">
      <c r="A25" s="303"/>
      <c r="B25" s="303"/>
      <c r="C25" s="303"/>
      <c r="D25" s="303"/>
      <c r="E25" s="303"/>
      <c r="F25" s="303"/>
      <c r="G25" s="303"/>
      <c r="H25" s="303"/>
      <c r="I25" s="303"/>
    </row>
    <row r="26" spans="1:9" ht="24.75" customHeight="1" x14ac:dyDescent="0.2">
      <c r="A26" s="303"/>
      <c r="B26" s="303"/>
      <c r="C26" s="303"/>
      <c r="D26" s="303"/>
      <c r="E26" s="303"/>
      <c r="F26" s="303"/>
      <c r="G26" s="303"/>
      <c r="H26" s="303"/>
      <c r="I26" s="303"/>
    </row>
    <row r="27" spans="1:9" ht="24.75" customHeight="1" x14ac:dyDescent="0.2">
      <c r="A27" s="303"/>
      <c r="B27" s="303"/>
      <c r="C27" s="303"/>
      <c r="D27" s="303"/>
      <c r="E27" s="303"/>
      <c r="F27" s="303"/>
      <c r="G27" s="303"/>
      <c r="H27" s="303"/>
      <c r="I27" s="303"/>
    </row>
    <row r="28" spans="1:9" ht="24.75" customHeight="1" x14ac:dyDescent="0.2">
      <c r="A28" s="303"/>
      <c r="B28" s="303"/>
      <c r="C28" s="303"/>
      <c r="D28" s="303"/>
      <c r="E28" s="303"/>
      <c r="F28" s="303"/>
      <c r="G28" s="303"/>
      <c r="H28" s="303"/>
      <c r="I28" s="303"/>
    </row>
    <row r="29" spans="1:9" ht="24.75" customHeight="1" x14ac:dyDescent="0.2">
      <c r="A29" s="303"/>
      <c r="B29" s="303"/>
      <c r="C29" s="303"/>
      <c r="D29" s="303"/>
      <c r="E29" s="303"/>
      <c r="F29" s="303"/>
      <c r="G29" s="303"/>
      <c r="H29" s="303"/>
      <c r="I29" s="303"/>
    </row>
    <row r="30" spans="1:9" ht="24.75" customHeight="1" x14ac:dyDescent="0.2">
      <c r="A30" s="303"/>
      <c r="B30" s="303"/>
      <c r="C30" s="303"/>
      <c r="D30" s="303"/>
      <c r="E30" s="303"/>
      <c r="F30" s="303"/>
      <c r="G30" s="303"/>
      <c r="H30" s="303"/>
      <c r="I30" s="303"/>
    </row>
    <row r="31" spans="1:9" ht="24.75" customHeight="1" x14ac:dyDescent="0.2">
      <c r="A31" s="303"/>
      <c r="B31" s="303"/>
      <c r="C31" s="303"/>
      <c r="D31" s="303"/>
      <c r="E31" s="303"/>
      <c r="F31" s="303"/>
      <c r="G31" s="303"/>
      <c r="H31" s="303"/>
      <c r="I31" s="303"/>
    </row>
    <row r="32" spans="1:9" ht="24.75" customHeight="1" x14ac:dyDescent="0.2">
      <c r="A32" s="303"/>
      <c r="B32" s="303"/>
      <c r="C32" s="303"/>
      <c r="D32" s="303"/>
      <c r="E32" s="303"/>
      <c r="F32" s="303"/>
      <c r="G32" s="303"/>
      <c r="H32" s="303"/>
      <c r="I32" s="303"/>
    </row>
    <row r="33" spans="1:9" ht="24.75" customHeight="1" x14ac:dyDescent="0.2">
      <c r="A33" s="303"/>
      <c r="B33" s="303"/>
      <c r="C33" s="303"/>
      <c r="D33" s="303"/>
      <c r="E33" s="303"/>
      <c r="F33" s="303"/>
      <c r="G33" s="303"/>
      <c r="H33" s="303"/>
      <c r="I33" s="303"/>
    </row>
    <row r="34" spans="1:9" ht="24.75" customHeight="1" x14ac:dyDescent="0.2">
      <c r="A34" s="303"/>
      <c r="B34" s="303"/>
      <c r="C34" s="303"/>
      <c r="D34" s="303"/>
      <c r="E34" s="303"/>
      <c r="F34" s="303"/>
      <c r="G34" s="303"/>
      <c r="H34" s="303"/>
      <c r="I34" s="303"/>
    </row>
    <row r="35" spans="1:9" ht="24.75" customHeight="1" x14ac:dyDescent="0.2">
      <c r="A35" s="303"/>
      <c r="B35" s="303"/>
      <c r="C35" s="303"/>
      <c r="D35" s="303"/>
      <c r="E35" s="303"/>
      <c r="F35" s="303"/>
      <c r="G35" s="303"/>
      <c r="H35" s="303"/>
      <c r="I35" s="303"/>
    </row>
    <row r="36" spans="1:9" ht="24.75" customHeight="1" x14ac:dyDescent="0.2">
      <c r="A36" s="303"/>
      <c r="B36" s="303"/>
      <c r="C36" s="303"/>
      <c r="D36" s="303"/>
      <c r="E36" s="303"/>
      <c r="F36" s="303"/>
      <c r="G36" s="303"/>
      <c r="H36" s="303"/>
      <c r="I36" s="303"/>
    </row>
    <row r="37" spans="1:9" ht="24.75" customHeight="1" x14ac:dyDescent="0.2">
      <c r="A37" s="303"/>
      <c r="B37" s="303"/>
      <c r="C37" s="303"/>
      <c r="D37" s="303"/>
      <c r="E37" s="303"/>
      <c r="F37" s="303"/>
      <c r="G37" s="303"/>
      <c r="H37" s="303"/>
      <c r="I37" s="303"/>
    </row>
    <row r="38" spans="1:9" ht="24.75" customHeight="1" x14ac:dyDescent="0.2">
      <c r="A38" s="303"/>
      <c r="B38" s="303"/>
      <c r="C38" s="303"/>
      <c r="D38" s="303"/>
      <c r="E38" s="303"/>
      <c r="F38" s="303"/>
      <c r="G38" s="303"/>
      <c r="H38" s="303"/>
      <c r="I38" s="303"/>
    </row>
    <row r="39" spans="1:9" ht="24.75" customHeight="1" x14ac:dyDescent="0.2">
      <c r="A39" s="303"/>
      <c r="B39" s="303"/>
      <c r="C39" s="303"/>
      <c r="D39" s="303"/>
      <c r="E39" s="303"/>
      <c r="F39" s="303"/>
      <c r="G39" s="303"/>
      <c r="H39" s="303"/>
      <c r="I39" s="303"/>
    </row>
    <row r="40" spans="1:9" ht="24.75" customHeight="1" x14ac:dyDescent="0.2">
      <c r="A40" s="303"/>
      <c r="B40" s="303"/>
      <c r="C40" s="303"/>
      <c r="D40" s="303"/>
      <c r="E40" s="303"/>
      <c r="F40" s="303"/>
      <c r="G40" s="303"/>
      <c r="H40" s="303"/>
      <c r="I40" s="303"/>
    </row>
    <row r="41" spans="1:9" ht="24.75" customHeight="1" x14ac:dyDescent="0.2"/>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terms/"/>
    <ds:schemaRef ds:uri="http://schemas.microsoft.com/office/infopath/2007/PartnerControls"/>
    <ds:schemaRef ds:uri="http://www.w3.org/XML/1998/namespace"/>
    <ds:schemaRef ds:uri="http://schemas.microsoft.com/office/2006/documentManagement/types"/>
    <ds:schemaRef ds:uri="http://purl.org/dc/dcmitype/"/>
    <ds:schemaRef ds:uri="http://schemas.openxmlformats.org/package/2006/metadata/core-properties"/>
    <ds:schemaRef ds:uri="http://purl.org/dc/elements/1.1/"/>
    <ds:schemaRef ds:uri="2090b57c-2e4d-4ed9-b313-510fc704fe75"/>
    <ds:schemaRef ds:uri="http://schemas.microsoft.com/office/2006/metadata/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Senka Žaja</cp:lastModifiedBy>
  <cp:lastPrinted>2023-04-27T16:27:39Z</cp:lastPrinted>
  <dcterms:created xsi:type="dcterms:W3CDTF">2008-10-17T11:51:54Z</dcterms:created>
  <dcterms:modified xsi:type="dcterms:W3CDTF">2025-02-26T23:10:26Z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