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professiohr.sharepoint.com/Shared Documents/01 Financije/02 Financijska izvjesca/PROFESSIO/2024/4Q-2024/"/>
    </mc:Choice>
  </mc:AlternateContent>
  <xr:revisionPtr revIDLastSave="53" documentId="8_{469EBB59-FAB6-46A8-B6F3-BF132133CA33}" xr6:coauthVersionLast="47" xr6:coauthVersionMax="47" xr10:uidLastSave="{FC79D862-7A74-40B7-847B-48F9E3C2EEBA}"/>
  <bookViews>
    <workbookView xWindow="-2892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0" l="1"/>
  <c r="H20" i="20"/>
  <c r="I21" i="20"/>
  <c r="H21" i="20"/>
  <c r="I12" i="20"/>
  <c r="H12" i="20"/>
  <c r="H53" i="20"/>
  <c r="I36" i="20"/>
  <c r="H36" i="20"/>
  <c r="I13" i="20"/>
  <c r="H13" i="20"/>
  <c r="I30" i="18" l="1"/>
  <c r="I28" i="18"/>
  <c r="I70" i="18" l="1"/>
  <c r="K23" i="26"/>
  <c r="K22" i="26"/>
  <c r="K21" i="26"/>
  <c r="I123" i="18"/>
  <c r="I83" i="18"/>
  <c r="J36" i="26"/>
  <c r="I59" i="18"/>
  <c r="K36" i="26"/>
  <c r="K51" i="26"/>
  <c r="J51" i="26" l="1"/>
  <c r="I20" i="18"/>
  <c r="I16" i="18"/>
  <c r="I12" i="18"/>
  <c r="I53" i="18" l="1"/>
  <c r="I79" i="18" l="1"/>
  <c r="I10" i="18" l="1"/>
  <c r="I17" i="18" l="1"/>
  <c r="I38" i="18" l="1"/>
  <c r="H87" i="26" l="1"/>
  <c r="H86" i="26" s="1"/>
  <c r="I87" i="26"/>
  <c r="I86" i="26" s="1"/>
  <c r="J87" i="26"/>
  <c r="J86" i="26" s="1"/>
  <c r="K87" i="26"/>
  <c r="K86" i="26" s="1"/>
  <c r="I10" i="20"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I95" i="18" s="1"/>
  <c r="I8" i="20"/>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75" i="18" l="1"/>
  <c r="H42" i="20"/>
  <c r="H55" i="20"/>
  <c r="H9" i="18"/>
  <c r="H133" i="18"/>
  <c r="H44" i="18"/>
  <c r="X63" i="22"/>
  <c r="V63" i="22"/>
  <c r="U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V40" i="22" s="1"/>
  <c r="W40" i="22" s="1"/>
  <c r="Y40" i="22" s="1"/>
  <c r="I91" i="18"/>
  <c r="I60" i="18"/>
  <c r="I44" i="18" s="1"/>
  <c r="I45" i="18"/>
  <c r="I27" i="18"/>
  <c r="I9" i="18" s="1"/>
  <c r="H57" i="20" l="1"/>
  <c r="H59" i="20" s="1"/>
  <c r="V59" i="22"/>
  <c r="V62" i="22"/>
  <c r="I24" i="20"/>
  <c r="I27" i="20" s="1"/>
  <c r="I55" i="20"/>
  <c r="H72" i="18"/>
  <c r="H134" i="18" s="1"/>
  <c r="I75" i="18"/>
  <c r="I133" i="18" s="1"/>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 r="I72" i="18"/>
  <c r="I134" i="18" s="1"/>
</calcChain>
</file>

<file path=xl/sharedStrings.xml><?xml version="1.0" encoding="utf-8"?>
<sst xmlns="http://schemas.openxmlformats.org/spreadsheetml/2006/main" count="543" uniqueCount="479">
  <si>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</si>
  <si>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</si>
  <si>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</si>
  <si>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</si>
  <si>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</si>
  <si>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</si>
  <si>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</si>
  <si>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</si>
  <si>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</si>
  <si>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</si>
  <si>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</si>
  <si>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</si>
  <si>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</si>
  <si>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</si>
  <si>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</si>
  <si>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</si>
  <si>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</si>
  <si>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</si>
  <si>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</si>
  <si>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</si>
  <si>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</si>
  <si>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</si>
  <si>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</si>
  <si>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</si>
  <si>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</si>
  <si>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</si>
  <si>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</si>
  <si>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</si>
  <si>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</si>
  <si>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</si>
  <si>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</si>
  <si>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</si>
  <si>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</si>
  <si>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</si>
  <si>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</si>
  <si>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</si>
  <si>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</si>
  <si>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</si>
  <si>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</si>
  <si>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</si>
  <si>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</si>
  <si>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</si>
  <si>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</si>
  <si>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</si>
  <si>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</si>
  <si>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</si>
  <si>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</si>
  <si>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</si>
  <si>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</si>
  <si>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</si>
  <si>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</si>
  <si>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</si>
  <si>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</si>
  <si>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</si>
  <si>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</si>
  <si>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</si>
  <si>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</si>
  <si>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</si>
  <si>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</si>
  <si>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</si>
  <si>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</si>
  <si>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</si>
  <si>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</si>
  <si>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</si>
  <si>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</si>
  <si>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</si>
  <si>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</si>
  <si>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</si>
  <si>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</si>
  <si>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</si>
  <si>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</si>
  <si>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</si>
  <si>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</si>
  <si>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</si>
  <si>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</si>
  <si>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</si>
  <si>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</si>
  <si>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</si>
  <si>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</si>
  <si>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</si>
  <si>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</si>
  <si>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</si>
  <si>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</si>
  <si>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</si>
  <si>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</si>
  <si>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</si>
  <si>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</si>
  <si>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</si>
  <si>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</si>
  <si>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</si>
  <si>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</si>
  <si>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</si>
  <si>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</si>
  <si>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</si>
  <si>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</si>
  <si>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</si>
  <si>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</si>
  <si>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</si>
  <si>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</si>
  <si>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</si>
  <si>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</si>
  <si>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</si>
  <si>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</si>
  <si>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</si>
  <si>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</si>
  <si>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</si>
  <si>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</si>
  <si>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</si>
  <si>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</si>
  <si>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</si>
  <si>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</si>
  <si>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</si>
  <si>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</si>
  <si>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</si>
  <si>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</si>
  <si>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</si>
  <si>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</si>
  <si>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</si>
  <si>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</si>
  <si>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</si>
  <si>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</si>
  <si>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</si>
  <si>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</si>
  <si>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</si>
  <si>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</si>
  <si>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</si>
  <si>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</si>
  <si>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</si>
  <si>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</si>
  <si>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</si>
  <si>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</si>
  <si>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</si>
  <si>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</si>
  <si>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</si>
  <si>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</si>
  <si>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</si>
  <si>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</si>
  <si>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</si>
  <si>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</si>
  <si>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</si>
  <si>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</si>
  <si>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</si>
  <si>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</si>
  <si>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</si>
  <si>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</si>
  <si>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</si>
  <si>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</si>
  <si>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</si>
  <si>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</si>
  <si>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</si>
  <si>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</si>
  <si>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</si>
  <si>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</si>
  <si>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</si>
  <si>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</si>
  <si>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</si>
  <si>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</si>
  <si>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</si>
  <si>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</si>
  <si>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</si>
  <si>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</si>
  <si>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</si>
  <si>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</si>
  <si>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</si>
  <si>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</si>
  <si>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</si>
  <si>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</si>
  <si>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</si>
  <si>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</si>
  <si>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</si>
  <si>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</si>
  <si>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</si>
  <si>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</si>
  <si>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</si>
  <si>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</si>
  <si>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</si>
  <si>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</si>
  <si>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</si>
  <si>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</si>
  <si>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</si>
  <si>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</si>
  <si>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</si>
  <si>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</si>
  <si>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</si>
  <si>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</si>
  <si>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</si>
  <si>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</si>
  <si>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</si>
  <si>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</si>
  <si>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</si>
  <si>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</si>
  <si>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</si>
  <si>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</si>
  <si>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</si>
  <si>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</si>
  <si>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</si>
  <si>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</si>
  <si>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</si>
  <si>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</si>
  <si>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</si>
  <si>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</si>
  <si>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</si>
  <si>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</si>
  <si>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</si>
  <si>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</si>
  <si>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</si>
  <si>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</si>
  <si>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</si>
  <si>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</si>
  <si>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</si>
  <si>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</si>
  <si>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</si>
  <si>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</si>
  <si>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</si>
  <si>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</si>
  <si>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</si>
  <si>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</si>
  <si>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</si>
  <si>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</si>
  <si>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</si>
  <si>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</si>
  <si>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</si>
  <si>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</si>
  <si>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</si>
  <si>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</si>
  <si>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</si>
  <si>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</si>
  <si>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</si>
  <si>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</si>
  <si>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</si>
  <si>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</si>
  <si>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</si>
  <si>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</si>
  <si>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</si>
  <si>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</si>
  <si>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</si>
  <si>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</si>
  <si>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</si>
  <si>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</si>
  <si>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</si>
  <si>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</si>
  <si>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</si>
  <si>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</si>
  <si>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</si>
  <si>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</si>
  <si>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</si>
  <si>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</si>
  <si>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</si>
  <si>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</si>
  <si>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</si>
  <si>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</si>
  <si>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</si>
  <si>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</si>
  <si>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</si>
  <si>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</si>
  <si>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</si>
  <si>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</si>
  <si>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</si>
  <si>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</si>
  <si>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</si>
  <si>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</si>
  <si>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</si>
  <si>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</si>
  <si>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</si>
  <si>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</si>
  <si>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</si>
  <si>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</si>
  <si>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</si>
  <si>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</si>
  <si>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</si>
  <si>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</si>
  <si>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</si>
  <si>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</si>
  <si>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</si>
  <si>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</si>
  <si>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</si>
  <si>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</si>
  <si>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</si>
  <si>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</si>
  <si>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</si>
  <si>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</si>
  <si>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</si>
  <si>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</si>
  <si>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</si>
  <si>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</si>
  <si>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</si>
  <si>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</si>
  <si>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</si>
  <si>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</si>
  <si>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</si>
  <si>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</si>
  <si>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</si>
  <si>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</si>
  <si>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</si>
  <si>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</si>
  <si>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</si>
  <si>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</si>
  <si>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</si>
  <si>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</si>
  <si>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</si>
  <si>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</si>
  <si>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</si>
  <si>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</si>
  <si>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</si>
  <si>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</si>
  <si>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</si>
  <si>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</si>
  <si>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</si>
  <si>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</si>
  <si>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</si>
  <si>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</si>
  <si>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</si>
  <si>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</si>
  <si>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</si>
  <si>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</si>
  <si>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</si>
  <si>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</si>
  <si>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</si>
  <si>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</si>
  <si>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</si>
  <si>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</si>
  <si>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</si>
  <si>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</si>
  <si>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</si>
  <si>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</si>
  <si>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</si>
  <si>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</si>
  <si>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</si>
  <si>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</si>
  <si>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</si>
  <si>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</si>
  <si>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</si>
  <si>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</si>
  <si>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</si>
  <si>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</si>
  <si>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</si>
  <si>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</si>
  <si>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</si>
  <si>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</si>
  <si>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</si>
  <si>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</si>
  <si>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</si>
  <si>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</si>
  <si>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</si>
  <si>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</si>
  <si>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</si>
  <si>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</si>
  <si>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</si>
  <si>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</si>
  <si>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</si>
  <si>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</si>
  <si>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</si>
  <si>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</si>
  <si>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</si>
  <si>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</si>
  <si>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</si>
  <si>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</si>
  <si>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</si>
  <si>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</si>
  <si>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</si>
  <si>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</si>
  <si>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</si>
  <si>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</si>
  <si>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</si>
  <si>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</si>
  <si>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</si>
  <si>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</si>
  <si>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</si>
  <si>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</si>
  <si>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</si>
  <si>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</si>
  <si>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</si>
  <si>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</si>
  <si>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</si>
  <si>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</si>
  <si>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</si>
  <si>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</si>
  <si>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</si>
  <si>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</si>
  <si>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</si>
  <si>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</si>
  <si>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</si>
  <si>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</si>
  <si>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</si>
  <si>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</si>
  <si>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</si>
  <si>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</si>
  <si>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</si>
  <si>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</si>
  <si>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</si>
  <si>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</si>
  <si>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</si>
  <si>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</si>
  <si>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</si>
  <si>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</si>
  <si>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</si>
  <si>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</si>
  <si>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</si>
  <si>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</si>
  <si>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</si>
  <si>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</si>
  <si>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</si>
  <si>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</si>
  <si>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</si>
  <si>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</si>
  <si>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</si>
  <si>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</si>
  <si>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</si>
  <si>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</si>
  <si>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</si>
  <si>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</si>
  <si>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</si>
  <si>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</si>
  <si>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</si>
  <si>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</si>
  <si>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</si>
  <si>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</si>
  <si>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</si>
  <si>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</si>
  <si>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</si>
  <si>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</si>
  <si>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</si>
  <si>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</si>
  <si>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</si>
  <si>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</si>
  <si>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</si>
  <si>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</si>
  <si>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</si>
  <si>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</si>
  <si>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</si>
  <si>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</si>
  <si>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</si>
  <si>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</si>
  <si>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</si>
  <si>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</si>
  <si>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</si>
  <si>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</si>
  <si>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</si>
  <si>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</si>
  <si>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</si>
  <si>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</si>
  <si>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</si>
  <si>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</si>
  <si>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</si>
  <si>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</si>
  <si>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</si>
  <si>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</si>
  <si>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</si>
  <si>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01967703</t>
  </si>
  <si>
    <t>080531484</t>
  </si>
  <si>
    <t>88975636912</t>
  </si>
  <si>
    <t>15268</t>
  </si>
  <si>
    <t>747800U06861GEZJIR41</t>
  </si>
  <si>
    <t>HR</t>
  </si>
  <si>
    <t>PROFESSIO ENERGIA d.d.</t>
  </si>
  <si>
    <t>ZAGREB</t>
  </si>
  <si>
    <t>Ivana Lučića 2/A</t>
  </si>
  <si>
    <t>mario.klaric@professio.hr</t>
  </si>
  <si>
    <t>www.professio.hr</t>
  </si>
  <si>
    <t>EKO d.o.o.</t>
  </si>
  <si>
    <t>Jurišićeva 1a, Zagreb</t>
  </si>
  <si>
    <t>VELIKA POPINA d.o.o.</t>
  </si>
  <si>
    <t>LIBURANA d.o.o.</t>
  </si>
  <si>
    <t xml:space="preserve">Jurišićeva 1a, Zagreb </t>
  </si>
  <si>
    <t>Ivana Lučića 2A, Zagreb</t>
  </si>
  <si>
    <t>Aleksandra Carvalho</t>
  </si>
  <si>
    <t>Mereor d.o.o.</t>
  </si>
  <si>
    <t>013097307</t>
  </si>
  <si>
    <t>BDO Croatia d.o.o.</t>
  </si>
  <si>
    <t>u razdoblju 01.01.2023 do 30.06.2023</t>
  </si>
  <si>
    <t>Obveznik:_PROFESSIO ENERGIA d.d.___________________________________________________</t>
  </si>
  <si>
    <t>Obveznik: _PROFESSIO ENERGIA d.d.__________________________________________________________________</t>
  </si>
  <si>
    <t>Obveznik: _PROFESSIO ENERGIA d.d._____________________________________________________</t>
  </si>
  <si>
    <t>Ivan Čajko</t>
  </si>
  <si>
    <t>Obveznik:Professio Energia d.d.</t>
  </si>
  <si>
    <t>team-m@crowe.hr</t>
  </si>
  <si>
    <t xml:space="preserve">stanje na dan 31.12.2024 </t>
  </si>
  <si>
    <t>u razdoblju 01.01.2024 do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</si>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</sst>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8" zoomScale="130" zoomScaleNormal="100" zoomScaleSheetLayoutView="130" workbookViewId="0">
      <selection activeCell="A5" sqref="A5:J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7" t="s">
        <v>0</v>
      </c>
      <c r="H4" s="138">
        <v>45657</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328</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4</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448</v>
      </c>
      <c r="D11" s="146"/>
      <c r="E11" s="108"/>
      <c r="F11" s="154" t="s">
        <v>331</v>
      </c>
      <c r="G11" s="144"/>
      <c r="H11" s="155" t="s">
        <v>453</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324</v>
      </c>
      <c r="B13" s="144"/>
      <c r="C13" s="145" t="s">
        <v>449</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310</v>
      </c>
      <c r="B15" s="144"/>
      <c r="C15" s="145" t="s">
        <v>450</v>
      </c>
      <c r="D15" s="146"/>
      <c r="E15" s="163"/>
      <c r="F15" s="164"/>
      <c r="G15" s="114" t="s">
        <v>332</v>
      </c>
      <c r="H15" s="155" t="s">
        <v>452</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333</v>
      </c>
      <c r="C17" s="145" t="s">
        <v>451</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311</v>
      </c>
      <c r="B19" s="159"/>
      <c r="C19" s="160" t="s">
        <v>454</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312</v>
      </c>
      <c r="B21" s="159"/>
      <c r="C21" s="155">
        <v>10000</v>
      </c>
      <c r="D21" s="156"/>
      <c r="E21" s="149"/>
      <c r="F21" s="149"/>
      <c r="G21" s="160" t="s">
        <v>455</v>
      </c>
      <c r="H21" s="161"/>
      <c r="I21" s="161"/>
      <c r="J21" s="162"/>
    </row>
    <row r="22" spans="1:10" x14ac:dyDescent="0.25">
      <c r="A22" s="110"/>
      <c r="B22" s="111"/>
      <c r="C22" s="111"/>
      <c r="D22" s="111"/>
      <c r="E22" s="149"/>
      <c r="F22" s="149"/>
      <c r="G22" s="149"/>
      <c r="H22" s="149"/>
      <c r="I22" s="111"/>
      <c r="J22" s="113"/>
    </row>
    <row r="23" spans="1:10" x14ac:dyDescent="0.25">
      <c r="A23" s="152" t="s">
        <v>313</v>
      </c>
      <c r="B23" s="159"/>
      <c r="C23" s="160" t="s">
        <v>456</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314</v>
      </c>
      <c r="B25" s="159"/>
      <c r="C25" s="167" t="s">
        <v>457</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315</v>
      </c>
      <c r="B27" s="159"/>
      <c r="C27" s="167" t="s">
        <v>458</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325</v>
      </c>
      <c r="B29" s="159"/>
      <c r="C29" s="40">
        <v>8</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316</v>
      </c>
      <c r="B31" s="159"/>
      <c r="C31" s="41" t="s">
        <v>335</v>
      </c>
      <c r="D31" s="170" t="s">
        <v>334</v>
      </c>
      <c r="E31" s="171"/>
      <c r="F31" s="171"/>
      <c r="G31" s="171"/>
      <c r="H31" s="111"/>
      <c r="I31" s="122" t="s">
        <v>335</v>
      </c>
      <c r="J31" s="123" t="s">
        <v>336</v>
      </c>
    </row>
    <row r="32" spans="1:10" x14ac:dyDescent="0.25">
      <c r="A32" s="152"/>
      <c r="B32" s="159"/>
      <c r="C32" s="124"/>
      <c r="D32" s="97"/>
      <c r="E32" s="164"/>
      <c r="F32" s="164"/>
      <c r="G32" s="164"/>
      <c r="H32" s="164"/>
      <c r="I32" s="120"/>
      <c r="J32" s="121"/>
    </row>
    <row r="33" spans="1:10" x14ac:dyDescent="0.25">
      <c r="A33" s="152" t="s">
        <v>326</v>
      </c>
      <c r="B33" s="159"/>
      <c r="C33" s="40" t="s">
        <v>338</v>
      </c>
      <c r="D33" s="170" t="s">
        <v>337</v>
      </c>
      <c r="E33" s="171"/>
      <c r="F33" s="171"/>
      <c r="G33" s="171"/>
      <c r="H33" s="117"/>
      <c r="I33" s="122" t="s">
        <v>338</v>
      </c>
      <c r="J33" s="123" t="s">
        <v>339</v>
      </c>
    </row>
    <row r="34" spans="1:10" x14ac:dyDescent="0.25">
      <c r="A34" s="110"/>
      <c r="B34" s="111"/>
      <c r="C34" s="111"/>
      <c r="D34" s="111"/>
      <c r="E34" s="149"/>
      <c r="F34" s="149"/>
      <c r="G34" s="149"/>
      <c r="H34" s="149"/>
      <c r="I34" s="111"/>
      <c r="J34" s="113"/>
    </row>
    <row r="35" spans="1:10" x14ac:dyDescent="0.25">
      <c r="A35" s="170" t="s">
        <v>327</v>
      </c>
      <c r="B35" s="171"/>
      <c r="C35" s="171"/>
      <c r="D35" s="171"/>
      <c r="E35" s="171" t="s">
        <v>317</v>
      </c>
      <c r="F35" s="171"/>
      <c r="G35" s="171"/>
      <c r="H35" s="171"/>
      <c r="I35" s="171"/>
      <c r="J35" s="125" t="s">
        <v>318</v>
      </c>
    </row>
    <row r="36" spans="1:10" x14ac:dyDescent="0.25">
      <c r="A36" s="110"/>
      <c r="B36" s="111"/>
      <c r="C36" s="111"/>
      <c r="D36" s="111"/>
      <c r="E36" s="149"/>
      <c r="F36" s="149"/>
      <c r="G36" s="149"/>
      <c r="H36" s="149"/>
      <c r="I36" s="111"/>
      <c r="J36" s="121"/>
    </row>
    <row r="37" spans="1:10" x14ac:dyDescent="0.25">
      <c r="A37" s="172" t="s">
        <v>459</v>
      </c>
      <c r="B37" s="173"/>
      <c r="C37" s="173"/>
      <c r="D37" s="173"/>
      <c r="E37" s="172" t="s">
        <v>460</v>
      </c>
      <c r="F37" s="173"/>
      <c r="G37" s="173"/>
      <c r="H37" s="173"/>
      <c r="I37" s="174"/>
      <c r="J37" s="89">
        <v>1547445</v>
      </c>
    </row>
    <row r="38" spans="1:10" x14ac:dyDescent="0.25">
      <c r="A38" s="78"/>
      <c r="B38" s="88"/>
      <c r="C38" s="91"/>
      <c r="D38" s="175"/>
      <c r="E38" s="175"/>
      <c r="F38" s="175"/>
      <c r="G38" s="175"/>
      <c r="H38" s="175"/>
      <c r="I38" s="175"/>
      <c r="J38" s="79"/>
    </row>
    <row r="39" spans="1:10" x14ac:dyDescent="0.25">
      <c r="A39" s="172" t="s">
        <v>461</v>
      </c>
      <c r="B39" s="173"/>
      <c r="C39" s="173"/>
      <c r="D39" s="174"/>
      <c r="E39" s="172" t="s">
        <v>463</v>
      </c>
      <c r="F39" s="173"/>
      <c r="G39" s="173"/>
      <c r="H39" s="173"/>
      <c r="I39" s="174"/>
      <c r="J39" s="40">
        <v>1995332</v>
      </c>
    </row>
    <row r="40" spans="1:10" x14ac:dyDescent="0.25">
      <c r="A40" s="78"/>
      <c r="B40" s="88"/>
      <c r="C40" s="91"/>
      <c r="D40" s="90"/>
      <c r="E40" s="175"/>
      <c r="F40" s="175"/>
      <c r="G40" s="175"/>
      <c r="H40" s="175"/>
      <c r="I40" s="87"/>
      <c r="J40" s="79"/>
    </row>
    <row r="41" spans="1:10" x14ac:dyDescent="0.25">
      <c r="A41" s="172" t="s">
        <v>462</v>
      </c>
      <c r="B41" s="173"/>
      <c r="C41" s="173"/>
      <c r="D41" s="174"/>
      <c r="E41" s="172" t="s">
        <v>464</v>
      </c>
      <c r="F41" s="173"/>
      <c r="G41" s="173"/>
      <c r="H41" s="173"/>
      <c r="I41" s="174"/>
      <c r="J41" s="40">
        <v>4824202</v>
      </c>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1"/>
      <c r="E48" s="149"/>
      <c r="F48" s="149"/>
      <c r="G48" s="176"/>
      <c r="H48" s="176"/>
      <c r="I48" s="111"/>
      <c r="J48" s="127" t="s">
        <v>340</v>
      </c>
    </row>
    <row r="49" spans="1:10" x14ac:dyDescent="0.25">
      <c r="A49" s="126"/>
      <c r="B49" s="118"/>
      <c r="C49" s="118"/>
      <c r="D49" s="111"/>
      <c r="E49" s="149"/>
      <c r="F49" s="149"/>
      <c r="G49" s="176"/>
      <c r="H49" s="176"/>
      <c r="I49" s="111"/>
      <c r="J49" s="127" t="s">
        <v>341</v>
      </c>
    </row>
    <row r="50" spans="1:10" ht="14.45" customHeight="1" x14ac:dyDescent="0.25">
      <c r="A50" s="143" t="s">
        <v>319</v>
      </c>
      <c r="B50" s="154"/>
      <c r="C50" s="155" t="s">
        <v>340</v>
      </c>
      <c r="D50" s="156"/>
      <c r="E50" s="182" t="s">
        <v>342</v>
      </c>
      <c r="F50" s="183"/>
      <c r="G50" s="160" t="s">
        <v>466</v>
      </c>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465</v>
      </c>
      <c r="D52" s="161"/>
      <c r="E52" s="161"/>
      <c r="F52" s="161"/>
      <c r="G52" s="161"/>
      <c r="H52" s="161"/>
      <c r="I52" s="161"/>
      <c r="J52" s="162"/>
    </row>
    <row r="53" spans="1:10" x14ac:dyDescent="0.25">
      <c r="A53" s="110"/>
      <c r="B53" s="111"/>
      <c r="C53" s="166" t="s">
        <v>321</v>
      </c>
      <c r="D53" s="166"/>
      <c r="E53" s="166"/>
      <c r="F53" s="166"/>
      <c r="G53" s="166"/>
      <c r="H53" s="166"/>
      <c r="I53" s="166"/>
      <c r="J53" s="113"/>
    </row>
    <row r="54" spans="1:10" x14ac:dyDescent="0.25">
      <c r="A54" s="143" t="s">
        <v>322</v>
      </c>
      <c r="B54" s="154"/>
      <c r="C54" s="178" t="s">
        <v>467</v>
      </c>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314</v>
      </c>
      <c r="B56" s="154"/>
      <c r="C56" s="185" t="s">
        <v>475</v>
      </c>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344</v>
      </c>
      <c r="B58" s="154"/>
      <c r="C58" s="185" t="s">
        <v>468</v>
      </c>
      <c r="D58" s="186"/>
      <c r="E58" s="186"/>
      <c r="F58" s="186"/>
      <c r="G58" s="186"/>
      <c r="H58" s="186"/>
      <c r="I58" s="186"/>
      <c r="J58" s="187"/>
    </row>
    <row r="59" spans="1:10" ht="14.45" customHeight="1" x14ac:dyDescent="0.25">
      <c r="A59" s="110"/>
      <c r="B59" s="111"/>
      <c r="C59" s="188" t="s">
        <v>345</v>
      </c>
      <c r="D59" s="188"/>
      <c r="E59" s="188"/>
      <c r="F59" s="188"/>
      <c r="G59" s="111"/>
      <c r="H59" s="111"/>
      <c r="I59" s="111"/>
      <c r="J59" s="113"/>
    </row>
    <row r="60" spans="1:10" x14ac:dyDescent="0.25">
      <c r="A60" s="143" t="s">
        <v>346</v>
      </c>
      <c r="B60" s="154"/>
      <c r="C60" s="185" t="s">
        <v>473</v>
      </c>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62" zoomScale="115" zoomScaleNormal="100" zoomScaleSheetLayoutView="115" workbookViewId="0">
      <selection activeCell="O77" sqref="O77"/>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476</v>
      </c>
      <c r="B2" s="196"/>
      <c r="C2" s="196"/>
      <c r="D2" s="196"/>
      <c r="E2" s="196"/>
      <c r="F2" s="196"/>
      <c r="G2" s="196"/>
      <c r="H2" s="196"/>
      <c r="I2" s="196"/>
    </row>
    <row r="3" spans="1:9" x14ac:dyDescent="0.2">
      <c r="A3" s="197" t="s">
        <v>447</v>
      </c>
      <c r="B3" s="197"/>
      <c r="C3" s="197"/>
      <c r="D3" s="197"/>
      <c r="E3" s="197"/>
      <c r="F3" s="197"/>
      <c r="G3" s="197"/>
      <c r="H3" s="197"/>
      <c r="I3" s="197"/>
    </row>
    <row r="4" spans="1:9" x14ac:dyDescent="0.2">
      <c r="A4" s="198" t="s">
        <v>470</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92109264</v>
      </c>
      <c r="I9" s="82">
        <f>I10+I17+I27+I38+I43</f>
        <v>97065194</v>
      </c>
    </row>
    <row r="10" spans="1:9" ht="12.75" customHeight="1" x14ac:dyDescent="0.2">
      <c r="A10" s="191" t="s">
        <v>5</v>
      </c>
      <c r="B10" s="191"/>
      <c r="C10" s="191"/>
      <c r="D10" s="191"/>
      <c r="E10" s="191"/>
      <c r="F10" s="191"/>
      <c r="G10" s="12">
        <v>3</v>
      </c>
      <c r="H10" s="82">
        <f>H11+H12+H13+H14+H15+H16</f>
        <v>104031</v>
      </c>
      <c r="I10" s="82">
        <f>I11+I12+I13+I14+I15+I16</f>
        <v>113071</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2357</v>
      </c>
      <c r="I12" s="18">
        <f>3053+10034+6902+2920-16786-3053-2920</f>
        <v>150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101674</v>
      </c>
      <c r="I16" s="18">
        <f>141174+20646+6154+6154+88663-130780-19090</f>
        <v>112921</v>
      </c>
    </row>
    <row r="17" spans="1:9" ht="12.75" customHeight="1" x14ac:dyDescent="0.2">
      <c r="A17" s="191" t="s">
        <v>12</v>
      </c>
      <c r="B17" s="191"/>
      <c r="C17" s="191"/>
      <c r="D17" s="191"/>
      <c r="E17" s="191"/>
      <c r="F17" s="191"/>
      <c r="G17" s="12">
        <v>10</v>
      </c>
      <c r="H17" s="82">
        <f>H18+H19+H20+H21+H22+H23+H24+H25+H26</f>
        <v>602722</v>
      </c>
      <c r="I17" s="82">
        <f>I18+I19+I20+I21+I22+I23+I24+I25+I26</f>
        <v>398895</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0</v>
      </c>
      <c r="I19" s="18">
        <v>0</v>
      </c>
    </row>
    <row r="20" spans="1:9" ht="12.75" customHeight="1" x14ac:dyDescent="0.2">
      <c r="A20" s="190" t="s">
        <v>15</v>
      </c>
      <c r="B20" s="190"/>
      <c r="C20" s="190"/>
      <c r="D20" s="190"/>
      <c r="E20" s="190"/>
      <c r="F20" s="190"/>
      <c r="G20" s="11">
        <v>13</v>
      </c>
      <c r="H20" s="18">
        <v>1689</v>
      </c>
      <c r="I20" s="18">
        <f>13388-13284</f>
        <v>104</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601033</v>
      </c>
      <c r="I24" s="18">
        <v>398791</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91330355</v>
      </c>
      <c r="I27" s="82">
        <f>SUM(I28:I37)</f>
        <v>96483203</v>
      </c>
    </row>
    <row r="28" spans="1:9" ht="12.75" customHeight="1" x14ac:dyDescent="0.2">
      <c r="A28" s="190" t="s">
        <v>23</v>
      </c>
      <c r="B28" s="190"/>
      <c r="C28" s="190"/>
      <c r="D28" s="190"/>
      <c r="E28" s="190"/>
      <c r="F28" s="190"/>
      <c r="G28" s="11">
        <v>21</v>
      </c>
      <c r="H28" s="18">
        <v>77814552</v>
      </c>
      <c r="I28" s="18">
        <f>96483203-I30-I35</f>
        <v>79945365</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13508225</v>
      </c>
      <c r="I30" s="18">
        <f>16528569-8509</f>
        <v>16520060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7578</v>
      </c>
      <c r="I35" s="18">
        <v>17778</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72156</v>
      </c>
      <c r="I43" s="18">
        <v>70025</v>
      </c>
    </row>
    <row r="44" spans="1:9" ht="12.75" customHeight="1" x14ac:dyDescent="0.2">
      <c r="A44" s="192" t="s">
        <v>303</v>
      </c>
      <c r="B44" s="192"/>
      <c r="C44" s="192"/>
      <c r="D44" s="192"/>
      <c r="E44" s="192"/>
      <c r="F44" s="192"/>
      <c r="G44" s="12">
        <v>37</v>
      </c>
      <c r="H44" s="82">
        <f>H45+H53+H60+H70</f>
        <v>2163509</v>
      </c>
      <c r="I44" s="82">
        <f>I45+I53+I60+I70</f>
        <v>2722159</v>
      </c>
    </row>
    <row r="45" spans="1:9" ht="12.75" customHeight="1" x14ac:dyDescent="0.2">
      <c r="A45" s="191" t="s">
        <v>39</v>
      </c>
      <c r="B45" s="191"/>
      <c r="C45" s="191"/>
      <c r="D45" s="191"/>
      <c r="E45" s="191"/>
      <c r="F45" s="191"/>
      <c r="G45" s="12">
        <v>38</v>
      </c>
      <c r="H45" s="82">
        <f>SUM(H46:H52)</f>
        <v>0</v>
      </c>
      <c r="I45" s="82">
        <f>SUM(I46:I52)</f>
        <v>0</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1006093</v>
      </c>
      <c r="I53" s="82">
        <f>SUM(I54:I59)</f>
        <v>1043853</v>
      </c>
    </row>
    <row r="54" spans="1:9" ht="12.75" customHeight="1" x14ac:dyDescent="0.2">
      <c r="A54" s="190" t="s">
        <v>48</v>
      </c>
      <c r="B54" s="190"/>
      <c r="C54" s="190"/>
      <c r="D54" s="190"/>
      <c r="E54" s="190"/>
      <c r="F54" s="190"/>
      <c r="G54" s="11">
        <v>47</v>
      </c>
      <c r="H54" s="18">
        <v>761641</v>
      </c>
      <c r="I54" s="18">
        <v>926832</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0</v>
      </c>
      <c r="I56" s="18">
        <v>0</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131187</v>
      </c>
      <c r="I58" s="18">
        <v>3617</v>
      </c>
    </row>
    <row r="59" spans="1:9" ht="12.75" customHeight="1" x14ac:dyDescent="0.2">
      <c r="A59" s="190" t="s">
        <v>53</v>
      </c>
      <c r="B59" s="190"/>
      <c r="C59" s="190"/>
      <c r="D59" s="190"/>
      <c r="E59" s="190"/>
      <c r="F59" s="190"/>
      <c r="G59" s="11">
        <v>52</v>
      </c>
      <c r="H59" s="18">
        <v>113265</v>
      </c>
      <c r="I59" s="18">
        <f>113114+290</f>
        <v>113404</v>
      </c>
    </row>
    <row r="60" spans="1:9" ht="12.75" customHeight="1" x14ac:dyDescent="0.2">
      <c r="A60" s="191" t="s">
        <v>54</v>
      </c>
      <c r="B60" s="191"/>
      <c r="C60" s="191"/>
      <c r="D60" s="191"/>
      <c r="E60" s="191"/>
      <c r="F60" s="191"/>
      <c r="G60" s="12">
        <v>53</v>
      </c>
      <c r="H60" s="82">
        <f>SUM(H61:H69)</f>
        <v>310600</v>
      </c>
      <c r="I60" s="82">
        <f>SUM(I61:I69)</f>
        <v>837491</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310600</v>
      </c>
      <c r="I63" s="18">
        <v>837491</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846816</v>
      </c>
      <c r="I70" s="18">
        <f>840857-42</f>
        <v>840815</v>
      </c>
    </row>
    <row r="71" spans="1:9" ht="12.75" customHeight="1" x14ac:dyDescent="0.2">
      <c r="A71" s="206" t="s">
        <v>58</v>
      </c>
      <c r="B71" s="206"/>
      <c r="C71" s="206"/>
      <c r="D71" s="206"/>
      <c r="E71" s="206"/>
      <c r="F71" s="206"/>
      <c r="G71" s="11">
        <v>64</v>
      </c>
      <c r="H71" s="18">
        <v>54645</v>
      </c>
      <c r="I71" s="18">
        <v>29817</v>
      </c>
    </row>
    <row r="72" spans="1:9" ht="12.75" customHeight="1" x14ac:dyDescent="0.2">
      <c r="A72" s="192" t="s">
        <v>304</v>
      </c>
      <c r="B72" s="192"/>
      <c r="C72" s="192"/>
      <c r="D72" s="192"/>
      <c r="E72" s="192"/>
      <c r="F72" s="192"/>
      <c r="G72" s="12">
        <v>65</v>
      </c>
      <c r="H72" s="82">
        <f>H8+H9+H44+H71</f>
        <v>94327418</v>
      </c>
      <c r="I72" s="82">
        <f>I8+I9+I44+I71</f>
        <v>99817170</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87021430</v>
      </c>
      <c r="I75" s="83">
        <f>I76+I77+I78+I84+I85+I91+I94+I97</f>
        <v>91379104</v>
      </c>
    </row>
    <row r="76" spans="1:9" ht="12.75" customHeight="1" x14ac:dyDescent="0.2">
      <c r="A76" s="190" t="s">
        <v>61</v>
      </c>
      <c r="B76" s="190"/>
      <c r="C76" s="190"/>
      <c r="D76" s="190"/>
      <c r="E76" s="190"/>
      <c r="F76" s="190"/>
      <c r="G76" s="11">
        <v>68</v>
      </c>
      <c r="H76" s="18">
        <v>34010262</v>
      </c>
      <c r="I76" s="18">
        <v>34010262</v>
      </c>
    </row>
    <row r="77" spans="1:9" ht="12.75" customHeight="1" x14ac:dyDescent="0.2">
      <c r="A77" s="190" t="s">
        <v>62</v>
      </c>
      <c r="B77" s="190"/>
      <c r="C77" s="190"/>
      <c r="D77" s="190"/>
      <c r="E77" s="190"/>
      <c r="F77" s="190"/>
      <c r="G77" s="11">
        <v>69</v>
      </c>
      <c r="H77" s="18">
        <v>45066335</v>
      </c>
      <c r="I77" s="18">
        <v>45066335</v>
      </c>
    </row>
    <row r="78" spans="1:9" ht="12.75" customHeight="1" x14ac:dyDescent="0.2">
      <c r="A78" s="191" t="s">
        <v>63</v>
      </c>
      <c r="B78" s="191"/>
      <c r="C78" s="191"/>
      <c r="D78" s="191"/>
      <c r="E78" s="191"/>
      <c r="F78" s="191"/>
      <c r="G78" s="12">
        <v>70</v>
      </c>
      <c r="H78" s="83">
        <f>SUM(H79:H83)</f>
        <v>1437208</v>
      </c>
      <c r="I78" s="83">
        <f>SUM(I79:I83)</f>
        <v>1666802</v>
      </c>
    </row>
    <row r="79" spans="1:9" ht="12.75" customHeight="1" x14ac:dyDescent="0.2">
      <c r="A79" s="190" t="s">
        <v>64</v>
      </c>
      <c r="B79" s="190"/>
      <c r="C79" s="190"/>
      <c r="D79" s="190"/>
      <c r="E79" s="190"/>
      <c r="F79" s="190"/>
      <c r="G79" s="11">
        <v>71</v>
      </c>
      <c r="H79" s="18">
        <v>724864</v>
      </c>
      <c r="I79" s="18">
        <f>724864+229594</f>
        <v>954458</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712344</v>
      </c>
      <c r="I83" s="18">
        <f>10+712334</f>
        <v>712344</v>
      </c>
    </row>
    <row r="84" spans="1:9" ht="12.75" customHeight="1" x14ac:dyDescent="0.2">
      <c r="A84" s="207" t="s">
        <v>69</v>
      </c>
      <c r="B84" s="207"/>
      <c r="C84" s="207"/>
      <c r="D84" s="207"/>
      <c r="E84" s="207"/>
      <c r="F84" s="207"/>
      <c r="G84" s="42">
        <v>76</v>
      </c>
      <c r="H84" s="43">
        <v>0</v>
      </c>
      <c r="I84" s="43">
        <v>0</v>
      </c>
    </row>
    <row r="85" spans="1:9" ht="12.75" customHeight="1" x14ac:dyDescent="0.2">
      <c r="A85" s="191" t="s">
        <v>444</v>
      </c>
      <c r="B85" s="191"/>
      <c r="C85" s="191"/>
      <c r="D85" s="191"/>
      <c r="E85" s="191"/>
      <c r="F85" s="191"/>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f>H92-H93</f>
        <v>1915751</v>
      </c>
      <c r="I91" s="82">
        <f>I92-I93</f>
        <v>2353771</v>
      </c>
    </row>
    <row r="92" spans="1:9" ht="12.75" customHeight="1" x14ac:dyDescent="0.2">
      <c r="A92" s="190" t="s">
        <v>72</v>
      </c>
      <c r="B92" s="190"/>
      <c r="C92" s="190"/>
      <c r="D92" s="190"/>
      <c r="E92" s="190"/>
      <c r="F92" s="190"/>
      <c r="G92" s="11">
        <v>84</v>
      </c>
      <c r="H92" s="18">
        <v>1915751</v>
      </c>
      <c r="I92" s="18">
        <v>2353771</v>
      </c>
    </row>
    <row r="93" spans="1:9" ht="12.75" customHeight="1" x14ac:dyDescent="0.2">
      <c r="A93" s="190" t="s">
        <v>73</v>
      </c>
      <c r="B93" s="190"/>
      <c r="C93" s="190"/>
      <c r="D93" s="190"/>
      <c r="E93" s="190"/>
      <c r="F93" s="190"/>
      <c r="G93" s="11">
        <v>85</v>
      </c>
      <c r="H93" s="18">
        <v>0</v>
      </c>
      <c r="I93" s="18">
        <v>0</v>
      </c>
    </row>
    <row r="94" spans="1:9" ht="12.75" customHeight="1" x14ac:dyDescent="0.2">
      <c r="A94" s="191" t="s">
        <v>351</v>
      </c>
      <c r="B94" s="191"/>
      <c r="C94" s="191"/>
      <c r="D94" s="191"/>
      <c r="E94" s="191"/>
      <c r="F94" s="191"/>
      <c r="G94" s="12">
        <v>86</v>
      </c>
      <c r="H94" s="82">
        <f>H95-H96</f>
        <v>4591874</v>
      </c>
      <c r="I94" s="82">
        <f>I95-I96</f>
        <v>8281934</v>
      </c>
    </row>
    <row r="95" spans="1:9" ht="12.75" customHeight="1" x14ac:dyDescent="0.2">
      <c r="A95" s="190" t="s">
        <v>74</v>
      </c>
      <c r="B95" s="190"/>
      <c r="C95" s="190"/>
      <c r="D95" s="190"/>
      <c r="E95" s="190"/>
      <c r="F95" s="190"/>
      <c r="G95" s="11">
        <v>87</v>
      </c>
      <c r="H95" s="18">
        <v>4591874</v>
      </c>
      <c r="I95" s="18">
        <f>+RDG!J67</f>
        <v>8281934</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5771261</v>
      </c>
      <c r="I105" s="82">
        <f>SUM(I106:I116)</f>
        <v>4310966</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5712586</v>
      </c>
      <c r="I111" s="18">
        <v>4285439</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58675</v>
      </c>
      <c r="I115" s="18">
        <v>25527</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355</v>
      </c>
      <c r="B117" s="192"/>
      <c r="C117" s="192"/>
      <c r="D117" s="192"/>
      <c r="E117" s="192"/>
      <c r="F117" s="192"/>
      <c r="G117" s="12">
        <v>109</v>
      </c>
      <c r="H117" s="82">
        <f>SUM(H118:H131)</f>
        <v>1534614</v>
      </c>
      <c r="I117" s="82">
        <f>SUM(I118:I131)</f>
        <v>4126907</v>
      </c>
    </row>
    <row r="118" spans="1:9" ht="12.75" customHeight="1" x14ac:dyDescent="0.2">
      <c r="A118" s="190" t="s">
        <v>83</v>
      </c>
      <c r="B118" s="190"/>
      <c r="C118" s="190"/>
      <c r="D118" s="190"/>
      <c r="E118" s="190"/>
      <c r="F118" s="190"/>
      <c r="G118" s="11">
        <v>110</v>
      </c>
      <c r="H118" s="18">
        <v>0</v>
      </c>
      <c r="I118" s="18">
        <v>200000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1433454</v>
      </c>
      <c r="I123" s="18">
        <f>3433715+1367</f>
        <v>3435082</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18849</v>
      </c>
      <c r="I125" s="18">
        <v>81129</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23491</v>
      </c>
      <c r="I127" s="18">
        <v>237077</v>
      </c>
    </row>
    <row r="128" spans="1:9" x14ac:dyDescent="0.2">
      <c r="A128" s="190" t="s">
        <v>95</v>
      </c>
      <c r="B128" s="190"/>
      <c r="C128" s="190"/>
      <c r="D128" s="190"/>
      <c r="E128" s="190"/>
      <c r="F128" s="190"/>
      <c r="G128" s="11">
        <v>120</v>
      </c>
      <c r="H128" s="18">
        <v>20605</v>
      </c>
      <c r="I128" s="18">
        <v>93755</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38215</v>
      </c>
      <c r="I131" s="18">
        <v>79864</v>
      </c>
    </row>
    <row r="132" spans="1:9" ht="22.15" customHeight="1" x14ac:dyDescent="0.2">
      <c r="A132" s="206" t="s">
        <v>99</v>
      </c>
      <c r="B132" s="206"/>
      <c r="C132" s="206"/>
      <c r="D132" s="206"/>
      <c r="E132" s="206"/>
      <c r="F132" s="206"/>
      <c r="G132" s="11">
        <v>124</v>
      </c>
      <c r="H132" s="18">
        <v>113</v>
      </c>
      <c r="I132" s="18">
        <v>193</v>
      </c>
    </row>
    <row r="133" spans="1:9" ht="12.75" customHeight="1" x14ac:dyDescent="0.2">
      <c r="A133" s="192" t="s">
        <v>356</v>
      </c>
      <c r="B133" s="192"/>
      <c r="C133" s="192"/>
      <c r="D133" s="192"/>
      <c r="E133" s="192"/>
      <c r="F133" s="192"/>
      <c r="G133" s="12">
        <v>125</v>
      </c>
      <c r="H133" s="82">
        <f>H75+H98+H105+H117+H132</f>
        <v>94327418</v>
      </c>
      <c r="I133" s="82">
        <f>I75+I98+I105+I117+I132</f>
        <v>99817170</v>
      </c>
    </row>
    <row r="134" spans="1:9" x14ac:dyDescent="0.2">
      <c r="A134" s="206" t="s">
        <v>100</v>
      </c>
      <c r="B134" s="206"/>
      <c r="C134" s="206"/>
      <c r="D134" s="206"/>
      <c r="E134" s="206"/>
      <c r="F134" s="206"/>
      <c r="G134" s="11">
        <v>126</v>
      </c>
      <c r="H134" s="18">
        <f>+H133-H72</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45" zoomScale="115" zoomScaleNormal="115" zoomScaleSheetLayoutView="110" workbookViewId="0">
      <selection activeCell="H66" sqref="H6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477</v>
      </c>
      <c r="B2" s="213"/>
      <c r="C2" s="213"/>
      <c r="D2" s="213"/>
      <c r="E2" s="213"/>
      <c r="F2" s="213"/>
      <c r="G2" s="213"/>
      <c r="H2" s="213"/>
      <c r="I2" s="213"/>
    </row>
    <row r="3" spans="1:11" x14ac:dyDescent="0.2">
      <c r="A3" s="214" t="s">
        <v>447</v>
      </c>
      <c r="B3" s="215"/>
      <c r="C3" s="215"/>
      <c r="D3" s="215"/>
      <c r="E3" s="215"/>
      <c r="F3" s="215"/>
      <c r="G3" s="215"/>
      <c r="H3" s="215"/>
      <c r="I3" s="215"/>
      <c r="J3" s="216"/>
      <c r="K3" s="216"/>
    </row>
    <row r="4" spans="1:11" x14ac:dyDescent="0.2">
      <c r="A4" s="217" t="s">
        <v>471</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331273</v>
      </c>
      <c r="I8" s="48">
        <f>SUM(I9:I13)</f>
        <v>82168</v>
      </c>
      <c r="J8" s="48">
        <f>SUM(J9:J13)</f>
        <v>439728</v>
      </c>
      <c r="K8" s="48">
        <f>SUM(K9:K13)</f>
        <v>178776</v>
      </c>
    </row>
    <row r="9" spans="1:11" ht="12.75" customHeight="1" x14ac:dyDescent="0.2">
      <c r="A9" s="190" t="s">
        <v>115</v>
      </c>
      <c r="B9" s="190"/>
      <c r="C9" s="190"/>
      <c r="D9" s="190"/>
      <c r="E9" s="190"/>
      <c r="F9" s="190"/>
      <c r="G9" s="11">
        <v>2</v>
      </c>
      <c r="H9" s="49">
        <v>318740</v>
      </c>
      <c r="I9" s="49">
        <v>78578</v>
      </c>
      <c r="J9" s="49">
        <v>429940</v>
      </c>
      <c r="K9" s="49">
        <v>175833</v>
      </c>
    </row>
    <row r="10" spans="1:11" ht="12.75" customHeight="1" x14ac:dyDescent="0.2">
      <c r="A10" s="190" t="s">
        <v>116</v>
      </c>
      <c r="B10" s="190"/>
      <c r="C10" s="190"/>
      <c r="D10" s="190"/>
      <c r="E10" s="190"/>
      <c r="F10" s="190"/>
      <c r="G10" s="11">
        <v>3</v>
      </c>
      <c r="H10" s="49">
        <v>0</v>
      </c>
      <c r="I10" s="49">
        <v>0</v>
      </c>
      <c r="J10" s="49">
        <v>0</v>
      </c>
      <c r="K10" s="49">
        <v>0</v>
      </c>
    </row>
    <row r="11" spans="1:11" ht="12.75" customHeight="1" x14ac:dyDescent="0.2">
      <c r="A11" s="190" t="s">
        <v>117</v>
      </c>
      <c r="B11" s="190"/>
      <c r="C11" s="190"/>
      <c r="D11" s="190"/>
      <c r="E11" s="190"/>
      <c r="F11" s="190"/>
      <c r="G11" s="11">
        <v>4</v>
      </c>
      <c r="H11" s="49">
        <v>1157</v>
      </c>
      <c r="I11" s="49">
        <v>292</v>
      </c>
      <c r="J11" s="49">
        <v>1825</v>
      </c>
      <c r="K11" s="49">
        <v>952</v>
      </c>
    </row>
    <row r="12" spans="1:11" ht="12.75" customHeight="1" x14ac:dyDescent="0.2">
      <c r="A12" s="190" t="s">
        <v>118</v>
      </c>
      <c r="B12" s="190"/>
      <c r="C12" s="190"/>
      <c r="D12" s="190"/>
      <c r="E12" s="190"/>
      <c r="F12" s="190"/>
      <c r="G12" s="11">
        <v>5</v>
      </c>
      <c r="H12" s="49">
        <v>7963</v>
      </c>
      <c r="I12" s="49">
        <v>1991</v>
      </c>
      <c r="J12" s="49">
        <v>7963</v>
      </c>
      <c r="K12" s="49">
        <v>1991</v>
      </c>
    </row>
    <row r="13" spans="1:11" ht="12.75" customHeight="1" x14ac:dyDescent="0.2">
      <c r="A13" s="190" t="s">
        <v>119</v>
      </c>
      <c r="B13" s="190"/>
      <c r="C13" s="190"/>
      <c r="D13" s="190"/>
      <c r="E13" s="190"/>
      <c r="F13" s="190"/>
      <c r="G13" s="11">
        <v>6</v>
      </c>
      <c r="H13" s="49">
        <v>3413</v>
      </c>
      <c r="I13" s="49">
        <v>1307</v>
      </c>
      <c r="J13" s="49">
        <v>0</v>
      </c>
      <c r="K13" s="49">
        <v>0</v>
      </c>
    </row>
    <row r="14" spans="1:11" ht="12.75" customHeight="1" x14ac:dyDescent="0.2">
      <c r="A14" s="224" t="s">
        <v>358</v>
      </c>
      <c r="B14" s="224"/>
      <c r="C14" s="224"/>
      <c r="D14" s="224"/>
      <c r="E14" s="224"/>
      <c r="F14" s="224"/>
      <c r="G14" s="12">
        <v>7</v>
      </c>
      <c r="H14" s="48">
        <f>H15+H16+H20+H24+H25+H26+H29+H36</f>
        <v>1100602</v>
      </c>
      <c r="I14" s="48">
        <f>I15+I16+I20+I24+I25+I26+I29+I36</f>
        <v>352153</v>
      </c>
      <c r="J14" s="48">
        <f>J15+J16+J20+J24+J25+J26+J29+J36</f>
        <v>1676115</v>
      </c>
      <c r="K14" s="48">
        <f>K15+K16+K20+K24+K25+K26+K29+K36</f>
        <v>803810</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348564</v>
      </c>
      <c r="I16" s="48">
        <f>SUM(I17:I19)</f>
        <v>90871</v>
      </c>
      <c r="J16" s="48">
        <f>SUM(J17:J19)</f>
        <v>393814</v>
      </c>
      <c r="K16" s="48">
        <f>SUM(K17:K19)</f>
        <v>153914</v>
      </c>
    </row>
    <row r="17" spans="1:11" ht="12.75" customHeight="1" x14ac:dyDescent="0.2">
      <c r="A17" s="225" t="s">
        <v>120</v>
      </c>
      <c r="B17" s="225"/>
      <c r="C17" s="225"/>
      <c r="D17" s="225"/>
      <c r="E17" s="225"/>
      <c r="F17" s="225"/>
      <c r="G17" s="11">
        <v>10</v>
      </c>
      <c r="H17" s="49">
        <v>9902</v>
      </c>
      <c r="I17" s="49">
        <v>2897</v>
      </c>
      <c r="J17" s="49">
        <v>15176</v>
      </c>
      <c r="K17" s="49">
        <v>2342</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338662</v>
      </c>
      <c r="I19" s="49">
        <v>87974</v>
      </c>
      <c r="J19" s="49">
        <v>378638</v>
      </c>
      <c r="K19" s="49">
        <v>151572</v>
      </c>
    </row>
    <row r="20" spans="1:11" ht="12.75" customHeight="1" x14ac:dyDescent="0.2">
      <c r="A20" s="191" t="s">
        <v>439</v>
      </c>
      <c r="B20" s="191"/>
      <c r="C20" s="191"/>
      <c r="D20" s="191"/>
      <c r="E20" s="191"/>
      <c r="F20" s="191"/>
      <c r="G20" s="12">
        <v>13</v>
      </c>
      <c r="H20" s="48">
        <f>SUM(H21:H23)</f>
        <v>456913</v>
      </c>
      <c r="I20" s="48">
        <f>SUM(I21:I23)</f>
        <v>118757</v>
      </c>
      <c r="J20" s="48">
        <f>SUM(J21:J23)</f>
        <v>892111</v>
      </c>
      <c r="K20" s="48">
        <f>SUM(K21:K23)</f>
        <v>518974</v>
      </c>
    </row>
    <row r="21" spans="1:11" ht="12.75" customHeight="1" x14ac:dyDescent="0.2">
      <c r="A21" s="225" t="s">
        <v>105</v>
      </c>
      <c r="B21" s="225"/>
      <c r="C21" s="225"/>
      <c r="D21" s="225"/>
      <c r="E21" s="225"/>
      <c r="F21" s="225"/>
      <c r="G21" s="11">
        <v>14</v>
      </c>
      <c r="H21" s="49">
        <v>258362</v>
      </c>
      <c r="I21" s="49">
        <v>67159</v>
      </c>
      <c r="J21" s="49">
        <v>506415</v>
      </c>
      <c r="K21" s="49">
        <f>96000+198703</f>
        <v>294703</v>
      </c>
    </row>
    <row r="22" spans="1:11" ht="12.75" customHeight="1" x14ac:dyDescent="0.2">
      <c r="A22" s="225" t="s">
        <v>106</v>
      </c>
      <c r="B22" s="225"/>
      <c r="C22" s="225"/>
      <c r="D22" s="225"/>
      <c r="E22" s="225"/>
      <c r="F22" s="225"/>
      <c r="G22" s="11">
        <v>15</v>
      </c>
      <c r="H22" s="49">
        <v>133840</v>
      </c>
      <c r="I22" s="49">
        <v>34778</v>
      </c>
      <c r="J22" s="49">
        <v>259346</v>
      </c>
      <c r="K22" s="49">
        <f>24000+126768</f>
        <v>150768</v>
      </c>
    </row>
    <row r="23" spans="1:11" ht="12.75" customHeight="1" x14ac:dyDescent="0.2">
      <c r="A23" s="225" t="s">
        <v>107</v>
      </c>
      <c r="B23" s="225"/>
      <c r="C23" s="225"/>
      <c r="D23" s="225"/>
      <c r="E23" s="225"/>
      <c r="F23" s="225"/>
      <c r="G23" s="11">
        <v>16</v>
      </c>
      <c r="H23" s="49">
        <v>64711</v>
      </c>
      <c r="I23" s="49">
        <v>16820</v>
      </c>
      <c r="J23" s="49">
        <v>126350</v>
      </c>
      <c r="K23" s="49">
        <f>19800+53703</f>
        <v>73503</v>
      </c>
    </row>
    <row r="24" spans="1:11" ht="12.75" customHeight="1" x14ac:dyDescent="0.2">
      <c r="A24" s="190" t="s">
        <v>108</v>
      </c>
      <c r="B24" s="190"/>
      <c r="C24" s="190"/>
      <c r="D24" s="190"/>
      <c r="E24" s="190"/>
      <c r="F24" s="190"/>
      <c r="G24" s="11">
        <v>17</v>
      </c>
      <c r="H24" s="49">
        <v>50141</v>
      </c>
      <c r="I24" s="49">
        <v>13148</v>
      </c>
      <c r="J24" s="49">
        <v>83806</v>
      </c>
      <c r="K24" s="49">
        <v>21728</v>
      </c>
    </row>
    <row r="25" spans="1:11" ht="12.75" customHeight="1" x14ac:dyDescent="0.2">
      <c r="A25" s="190" t="s">
        <v>109</v>
      </c>
      <c r="B25" s="190"/>
      <c r="C25" s="190"/>
      <c r="D25" s="190"/>
      <c r="E25" s="190"/>
      <c r="F25" s="190"/>
      <c r="G25" s="11">
        <v>18</v>
      </c>
      <c r="H25" s="49">
        <v>224557</v>
      </c>
      <c r="I25" s="49">
        <v>115827</v>
      </c>
      <c r="J25" s="49">
        <v>276774</v>
      </c>
      <c r="K25" s="49">
        <v>95737</v>
      </c>
    </row>
    <row r="26" spans="1:11" ht="12.75" customHeight="1" x14ac:dyDescent="0.2">
      <c r="A26" s="191" t="s">
        <v>440</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441</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20427</v>
      </c>
      <c r="I36" s="49">
        <v>13550</v>
      </c>
      <c r="J36" s="49">
        <f>26390+3220</f>
        <v>29610</v>
      </c>
      <c r="K36" s="49">
        <f>567+12890</f>
        <v>13457</v>
      </c>
    </row>
    <row r="37" spans="1:11" ht="12.75" customHeight="1" x14ac:dyDescent="0.2">
      <c r="A37" s="224" t="s">
        <v>359</v>
      </c>
      <c r="B37" s="224"/>
      <c r="C37" s="224"/>
      <c r="D37" s="224"/>
      <c r="E37" s="224"/>
      <c r="F37" s="224"/>
      <c r="G37" s="12">
        <v>30</v>
      </c>
      <c r="H37" s="48">
        <f>SUM(H38:H47)</f>
        <v>2303785</v>
      </c>
      <c r="I37" s="48">
        <f>SUM(I38:I47)</f>
        <v>1081715</v>
      </c>
      <c r="J37" s="48">
        <f>SUM(J38:J47)</f>
        <v>7513782</v>
      </c>
      <c r="K37" s="48">
        <f>SUM(K38:K47)</f>
        <v>145337</v>
      </c>
    </row>
    <row r="38" spans="1:11" ht="12.75" customHeight="1" x14ac:dyDescent="0.2">
      <c r="A38" s="190" t="s">
        <v>131</v>
      </c>
      <c r="B38" s="190"/>
      <c r="C38" s="190"/>
      <c r="D38" s="190"/>
      <c r="E38" s="190"/>
      <c r="F38" s="190"/>
      <c r="G38" s="11">
        <v>31</v>
      </c>
      <c r="H38" s="49">
        <v>2000000</v>
      </c>
      <c r="I38" s="49">
        <v>1000000</v>
      </c>
      <c r="J38" s="49">
        <v>6974248</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298945</v>
      </c>
      <c r="I41" s="49">
        <v>79758</v>
      </c>
      <c r="J41" s="49">
        <v>526891</v>
      </c>
      <c r="K41" s="49">
        <v>133275</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4837</v>
      </c>
      <c r="I44" s="49">
        <v>1954</v>
      </c>
      <c r="J44" s="49">
        <v>698</v>
      </c>
      <c r="K44" s="49">
        <v>147</v>
      </c>
    </row>
    <row r="45" spans="1:11" ht="12.75" customHeight="1" x14ac:dyDescent="0.2">
      <c r="A45" s="190" t="s">
        <v>138</v>
      </c>
      <c r="B45" s="190"/>
      <c r="C45" s="190"/>
      <c r="D45" s="190"/>
      <c r="E45" s="190"/>
      <c r="F45" s="190"/>
      <c r="G45" s="11">
        <v>38</v>
      </c>
      <c r="H45" s="49">
        <v>3</v>
      </c>
      <c r="I45" s="49">
        <v>3</v>
      </c>
      <c r="J45" s="49">
        <v>30</v>
      </c>
      <c r="K45" s="49">
        <v>0</v>
      </c>
    </row>
    <row r="46" spans="1:11" ht="12.75" customHeight="1" x14ac:dyDescent="0.2">
      <c r="A46" s="190" t="s">
        <v>139</v>
      </c>
      <c r="B46" s="190"/>
      <c r="C46" s="190"/>
      <c r="D46" s="190"/>
      <c r="E46" s="190"/>
      <c r="F46" s="190"/>
      <c r="G46" s="11">
        <v>39</v>
      </c>
      <c r="H46" s="49">
        <v>0</v>
      </c>
      <c r="I46" s="49">
        <v>0</v>
      </c>
      <c r="J46" s="49">
        <v>11834</v>
      </c>
      <c r="K46" s="49">
        <v>11834</v>
      </c>
    </row>
    <row r="47" spans="1:11" ht="12.75" customHeight="1" x14ac:dyDescent="0.2">
      <c r="A47" s="190" t="s">
        <v>140</v>
      </c>
      <c r="B47" s="190"/>
      <c r="C47" s="190"/>
      <c r="D47" s="190"/>
      <c r="E47" s="190"/>
      <c r="F47" s="190"/>
      <c r="G47" s="11">
        <v>40</v>
      </c>
      <c r="H47" s="49">
        <v>0</v>
      </c>
      <c r="I47" s="49">
        <v>0</v>
      </c>
      <c r="J47" s="49">
        <v>81</v>
      </c>
      <c r="K47" s="49">
        <v>81</v>
      </c>
    </row>
    <row r="48" spans="1:11" ht="12.75" customHeight="1" x14ac:dyDescent="0.2">
      <c r="A48" s="224" t="s">
        <v>360</v>
      </c>
      <c r="B48" s="224"/>
      <c r="C48" s="224"/>
      <c r="D48" s="224"/>
      <c r="E48" s="224"/>
      <c r="F48" s="224"/>
      <c r="G48" s="12">
        <v>41</v>
      </c>
      <c r="H48" s="48">
        <f>SUM(H49:H55)</f>
        <v>280538</v>
      </c>
      <c r="I48" s="48">
        <f>SUM(I49:I55)</f>
        <v>196292</v>
      </c>
      <c r="J48" s="48">
        <f>SUM(J49:J55)</f>
        <v>134344</v>
      </c>
      <c r="K48" s="48">
        <f>SUM(K49:K55)</f>
        <v>262139</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160014</v>
      </c>
      <c r="I51" s="49">
        <v>75801</v>
      </c>
      <c r="J51" s="49">
        <f>24+134216</f>
        <v>134240</v>
      </c>
      <c r="K51" s="49">
        <f>62070+20</f>
        <v>62090</v>
      </c>
    </row>
    <row r="52" spans="1:11" ht="12.75" customHeight="1" x14ac:dyDescent="0.2">
      <c r="A52" s="228" t="s">
        <v>144</v>
      </c>
      <c r="B52" s="228"/>
      <c r="C52" s="228"/>
      <c r="D52" s="228"/>
      <c r="E52" s="228"/>
      <c r="F52" s="228"/>
      <c r="G52" s="11">
        <v>45</v>
      </c>
      <c r="H52" s="49">
        <v>99</v>
      </c>
      <c r="I52" s="49">
        <v>66</v>
      </c>
      <c r="J52" s="49">
        <v>62</v>
      </c>
      <c r="K52" s="49">
        <v>7</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120344</v>
      </c>
      <c r="I54" s="49">
        <v>120344</v>
      </c>
      <c r="J54" s="49">
        <v>0</v>
      </c>
      <c r="K54" s="49">
        <v>0</v>
      </c>
    </row>
    <row r="55" spans="1:11" ht="12.75" customHeight="1" x14ac:dyDescent="0.2">
      <c r="A55" s="228" t="s">
        <v>147</v>
      </c>
      <c r="B55" s="228"/>
      <c r="C55" s="228"/>
      <c r="D55" s="228"/>
      <c r="E55" s="228"/>
      <c r="F55" s="228"/>
      <c r="G55" s="11">
        <v>48</v>
      </c>
      <c r="H55" s="49">
        <v>81</v>
      </c>
      <c r="I55" s="49">
        <v>81</v>
      </c>
      <c r="J55" s="49">
        <v>42</v>
      </c>
      <c r="K55" s="49">
        <v>200042</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3316294</v>
      </c>
      <c r="I57" s="49">
        <v>575709</v>
      </c>
      <c r="J57" s="49">
        <v>2141013</v>
      </c>
      <c r="K57" s="49">
        <v>1109249</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5951352</v>
      </c>
      <c r="I60" s="48">
        <f t="shared" ref="I60:K60" si="0">I8+I37+I56+I57</f>
        <v>1739592</v>
      </c>
      <c r="J60" s="48">
        <f t="shared" si="0"/>
        <v>10094523</v>
      </c>
      <c r="K60" s="48">
        <f t="shared" si="0"/>
        <v>1433362</v>
      </c>
    </row>
    <row r="61" spans="1:11" ht="12.75" customHeight="1" x14ac:dyDescent="0.2">
      <c r="A61" s="224" t="s">
        <v>362</v>
      </c>
      <c r="B61" s="224"/>
      <c r="C61" s="224"/>
      <c r="D61" s="224"/>
      <c r="E61" s="224"/>
      <c r="F61" s="224"/>
      <c r="G61" s="12">
        <v>54</v>
      </c>
      <c r="H61" s="48">
        <f>H14+H48+H58+H59</f>
        <v>1381140</v>
      </c>
      <c r="I61" s="48">
        <f t="shared" ref="I61:K61" si="1">I14+I48+I58+I59</f>
        <v>548445</v>
      </c>
      <c r="J61" s="48">
        <f t="shared" si="1"/>
        <v>1810459</v>
      </c>
      <c r="K61" s="48">
        <f t="shared" si="1"/>
        <v>1065949</v>
      </c>
    </row>
    <row r="62" spans="1:11" ht="12.75" customHeight="1" x14ac:dyDescent="0.2">
      <c r="A62" s="224" t="s">
        <v>363</v>
      </c>
      <c r="B62" s="224"/>
      <c r="C62" s="224"/>
      <c r="D62" s="224"/>
      <c r="E62" s="224"/>
      <c r="F62" s="224"/>
      <c r="G62" s="12">
        <v>55</v>
      </c>
      <c r="H62" s="48">
        <f>H60-H61</f>
        <v>4570212</v>
      </c>
      <c r="I62" s="48">
        <f t="shared" ref="I62:K62" si="2">I60-I61</f>
        <v>1191147</v>
      </c>
      <c r="J62" s="48">
        <f t="shared" si="2"/>
        <v>8284064</v>
      </c>
      <c r="K62" s="48">
        <f t="shared" si="2"/>
        <v>367413</v>
      </c>
    </row>
    <row r="63" spans="1:11" ht="12.75" customHeight="1" x14ac:dyDescent="0.2">
      <c r="A63" s="229" t="s">
        <v>364</v>
      </c>
      <c r="B63" s="229"/>
      <c r="C63" s="229"/>
      <c r="D63" s="229"/>
      <c r="E63" s="229"/>
      <c r="F63" s="229"/>
      <c r="G63" s="12">
        <v>56</v>
      </c>
      <c r="H63" s="48">
        <f>+IF((H60-H61)&gt;0,(H60-H61),0)</f>
        <v>4570212</v>
      </c>
      <c r="I63" s="48">
        <f t="shared" ref="I63:K63" si="3">+IF((I60-I61)&gt;0,(I60-I61),0)</f>
        <v>1191147</v>
      </c>
      <c r="J63" s="48">
        <f t="shared" si="3"/>
        <v>8284064</v>
      </c>
      <c r="K63" s="48">
        <f t="shared" si="3"/>
        <v>367413</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-21662</v>
      </c>
      <c r="I65" s="49">
        <v>-21662</v>
      </c>
      <c r="J65" s="49">
        <v>2130</v>
      </c>
      <c r="K65" s="49">
        <v>2130</v>
      </c>
    </row>
    <row r="66" spans="1:11" ht="12.75" customHeight="1" x14ac:dyDescent="0.2">
      <c r="A66" s="224" t="s">
        <v>366</v>
      </c>
      <c r="B66" s="224"/>
      <c r="C66" s="224"/>
      <c r="D66" s="224"/>
      <c r="E66" s="224"/>
      <c r="F66" s="224"/>
      <c r="G66" s="12">
        <v>59</v>
      </c>
      <c r="H66" s="48">
        <f>H62-H65</f>
        <v>4591874</v>
      </c>
      <c r="I66" s="48">
        <f t="shared" ref="I66:K66" si="5">I62-I65</f>
        <v>1212809</v>
      </c>
      <c r="J66" s="48">
        <f t="shared" si="5"/>
        <v>8281934</v>
      </c>
      <c r="K66" s="48">
        <f t="shared" si="5"/>
        <v>365283</v>
      </c>
    </row>
    <row r="67" spans="1:11" ht="12.75" customHeight="1" x14ac:dyDescent="0.2">
      <c r="A67" s="229" t="s">
        <v>367</v>
      </c>
      <c r="B67" s="229"/>
      <c r="C67" s="229"/>
      <c r="D67" s="229"/>
      <c r="E67" s="229"/>
      <c r="F67" s="229"/>
      <c r="G67" s="12">
        <v>60</v>
      </c>
      <c r="H67" s="48">
        <f>+IF((H62-H65)&gt;0,(H62-H65),0)</f>
        <v>4591874</v>
      </c>
      <c r="I67" s="48">
        <f t="shared" ref="I67:K67" si="6">+IF((I62-I65)&gt;0,(I62-I65),0)</f>
        <v>1212809</v>
      </c>
      <c r="J67" s="48">
        <f t="shared" si="6"/>
        <v>8281934</v>
      </c>
      <c r="K67" s="48">
        <f t="shared" si="6"/>
        <v>365283</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f t="shared" ref="H86:K86" si="8">H87+H88</f>
        <v>0</v>
      </c>
      <c r="I86" s="52">
        <f t="shared" si="8"/>
        <v>0</v>
      </c>
      <c r="J86" s="52">
        <f t="shared" si="8"/>
        <v>0</v>
      </c>
      <c r="K86" s="52">
        <f t="shared" si="8"/>
        <v>0</v>
      </c>
    </row>
    <row r="87" spans="1:11" ht="12.75" customHeight="1" x14ac:dyDescent="0.2">
      <c r="A87" s="236" t="s">
        <v>158</v>
      </c>
      <c r="B87" s="236"/>
      <c r="C87" s="236"/>
      <c r="D87" s="236"/>
      <c r="E87" s="236"/>
      <c r="F87" s="236"/>
      <c r="G87" s="11">
        <v>77</v>
      </c>
      <c r="H87" s="52">
        <f t="shared" ref="H87:K87" si="9">H88+H89</f>
        <v>0</v>
      </c>
      <c r="I87" s="52">
        <f t="shared" si="9"/>
        <v>0</v>
      </c>
      <c r="J87" s="52">
        <f t="shared" si="9"/>
        <v>0</v>
      </c>
      <c r="K87" s="52">
        <f t="shared" si="9"/>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0</v>
      </c>
      <c r="I89" s="52">
        <v>0</v>
      </c>
      <c r="J89" s="52">
        <v>0</v>
      </c>
      <c r="K89" s="52">
        <v>0</v>
      </c>
    </row>
    <row r="90" spans="1:11" ht="24" customHeight="1" x14ac:dyDescent="0.2">
      <c r="A90" s="192" t="s">
        <v>435</v>
      </c>
      <c r="B90" s="192"/>
      <c r="C90" s="192"/>
      <c r="D90" s="192"/>
      <c r="E90" s="192"/>
      <c r="F90" s="192"/>
      <c r="G90" s="12">
        <v>79</v>
      </c>
      <c r="H90" s="69">
        <f>H91+H98</f>
        <v>0</v>
      </c>
      <c r="I90" s="69">
        <f>I91+I98</f>
        <v>0</v>
      </c>
      <c r="J90" s="69">
        <f t="shared" ref="J90:K90" si="10">J91+J98</f>
        <v>0</v>
      </c>
      <c r="K90" s="69">
        <f t="shared" si="10"/>
        <v>0</v>
      </c>
    </row>
    <row r="91" spans="1:11" ht="24" customHeight="1" x14ac:dyDescent="0.2">
      <c r="A91" s="239" t="s">
        <v>442</v>
      </c>
      <c r="B91" s="239"/>
      <c r="C91" s="239"/>
      <c r="D91" s="239"/>
      <c r="E91" s="239"/>
      <c r="F91" s="239"/>
      <c r="G91" s="12">
        <v>80</v>
      </c>
      <c r="H91" s="69">
        <f>SUM(H92:H96)</f>
        <v>0</v>
      </c>
      <c r="I91" s="69">
        <f>SUM(I92:I96)</f>
        <v>0</v>
      </c>
      <c r="J91" s="69">
        <f t="shared" ref="J91:K91" si="11">SUM(J92:J96)</f>
        <v>0</v>
      </c>
      <c r="K91" s="69">
        <f t="shared" si="11"/>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2">SUM(J99:J106)</f>
        <v>0</v>
      </c>
      <c r="K98" s="69">
        <f t="shared" si="12"/>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3">J91+J98-J107-J97</f>
        <v>0</v>
      </c>
      <c r="K108" s="69">
        <f t="shared" si="13"/>
        <v>0</v>
      </c>
    </row>
    <row r="109" spans="1:11" ht="12.75" customHeight="1" x14ac:dyDescent="0.2">
      <c r="A109" s="192" t="s">
        <v>391</v>
      </c>
      <c r="B109" s="192"/>
      <c r="C109" s="192"/>
      <c r="D109" s="192"/>
      <c r="E109" s="192"/>
      <c r="F109" s="192"/>
      <c r="G109" s="12">
        <v>98</v>
      </c>
      <c r="H109" s="51">
        <f>H89+H108</f>
        <v>0</v>
      </c>
      <c r="I109" s="51">
        <f>I89+I108</f>
        <v>0</v>
      </c>
      <c r="J109" s="51">
        <f t="shared" ref="J109:K109" si="14">J89+J108</f>
        <v>0</v>
      </c>
      <c r="K109" s="51">
        <f t="shared" si="14"/>
        <v>0</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4" zoomScale="115" zoomScaleNormal="100" zoomScaleSheetLayoutView="115"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478</v>
      </c>
      <c r="B2" s="196"/>
      <c r="C2" s="196"/>
      <c r="D2" s="196"/>
      <c r="E2" s="196"/>
      <c r="F2" s="196"/>
      <c r="G2" s="196"/>
      <c r="H2" s="196"/>
      <c r="I2" s="196"/>
    </row>
    <row r="3" spans="1:9" x14ac:dyDescent="0.2">
      <c r="A3" s="245" t="s">
        <v>447</v>
      </c>
      <c r="B3" s="246"/>
      <c r="C3" s="246"/>
      <c r="D3" s="246"/>
      <c r="E3" s="246"/>
      <c r="F3" s="246"/>
      <c r="G3" s="246"/>
      <c r="H3" s="246"/>
      <c r="I3" s="246"/>
    </row>
    <row r="4" spans="1:9" x14ac:dyDescent="0.2">
      <c r="A4" s="244" t="s">
        <v>472</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4570212</v>
      </c>
      <c r="I8" s="64">
        <f>+RDG!J62</f>
        <v>8284064</v>
      </c>
    </row>
    <row r="9" spans="1:9" ht="12.75" customHeight="1" x14ac:dyDescent="0.2">
      <c r="A9" s="248" t="s">
        <v>171</v>
      </c>
      <c r="B9" s="248"/>
      <c r="C9" s="248"/>
      <c r="D9" s="248"/>
      <c r="E9" s="248"/>
      <c r="F9" s="248"/>
      <c r="G9" s="65">
        <v>2</v>
      </c>
      <c r="H9" s="66">
        <f>H10+H11+H12+H13+H14+H15+H16+H17</f>
        <v>-5294184</v>
      </c>
      <c r="I9" s="66">
        <f>I10+I11+I12+I13+I14+I15+I16+I17</f>
        <v>-9436661</v>
      </c>
    </row>
    <row r="10" spans="1:9" ht="12.75" customHeight="1" x14ac:dyDescent="0.2">
      <c r="A10" s="225" t="s">
        <v>172</v>
      </c>
      <c r="B10" s="225"/>
      <c r="C10" s="225"/>
      <c r="D10" s="225"/>
      <c r="E10" s="225"/>
      <c r="F10" s="225"/>
      <c r="G10" s="63">
        <v>3</v>
      </c>
      <c r="H10" s="64">
        <v>50141</v>
      </c>
      <c r="I10" s="64">
        <f>+RDG!J24</f>
        <v>83806</v>
      </c>
    </row>
    <row r="11" spans="1:9" ht="22.15" customHeight="1" x14ac:dyDescent="0.2">
      <c r="A11" s="225" t="s">
        <v>173</v>
      </c>
      <c r="B11" s="225"/>
      <c r="C11" s="225"/>
      <c r="D11" s="225"/>
      <c r="E11" s="225"/>
      <c r="F11" s="225"/>
      <c r="G11" s="63">
        <v>4</v>
      </c>
      <c r="H11" s="64">
        <v>0</v>
      </c>
      <c r="I11" s="64">
        <v>0</v>
      </c>
    </row>
    <row r="12" spans="1:9" ht="23.45" customHeight="1" x14ac:dyDescent="0.2">
      <c r="A12" s="225" t="s">
        <v>174</v>
      </c>
      <c r="B12" s="225"/>
      <c r="C12" s="225"/>
      <c r="D12" s="225"/>
      <c r="E12" s="225"/>
      <c r="F12" s="225"/>
      <c r="G12" s="63">
        <v>5</v>
      </c>
      <c r="H12" s="64">
        <f>120425-81</f>
        <v>120344</v>
      </c>
      <c r="I12" s="64">
        <f>-11874+41</f>
        <v>-11833</v>
      </c>
    </row>
    <row r="13" spans="1:9" ht="12.75" customHeight="1" x14ac:dyDescent="0.2">
      <c r="A13" s="225" t="s">
        <v>175</v>
      </c>
      <c r="B13" s="225"/>
      <c r="C13" s="225"/>
      <c r="D13" s="225"/>
      <c r="E13" s="225"/>
      <c r="F13" s="225"/>
      <c r="G13" s="63">
        <v>6</v>
      </c>
      <c r="H13" s="64">
        <f>-2000000-303782</f>
        <v>-2303782</v>
      </c>
      <c r="I13" s="64">
        <f>-6974248-527589</f>
        <v>-7501837</v>
      </c>
    </row>
    <row r="14" spans="1:9" ht="12.75" customHeight="1" x14ac:dyDescent="0.2">
      <c r="A14" s="225" t="s">
        <v>176</v>
      </c>
      <c r="B14" s="225"/>
      <c r="C14" s="225"/>
      <c r="D14" s="225"/>
      <c r="E14" s="225"/>
      <c r="F14" s="225"/>
      <c r="G14" s="63">
        <v>7</v>
      </c>
      <c r="H14" s="64">
        <v>159982</v>
      </c>
      <c r="I14" s="64">
        <v>134216</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-3320869</v>
      </c>
      <c r="I17" s="64">
        <v>-2141013</v>
      </c>
    </row>
    <row r="18" spans="1:9" ht="28.15" customHeight="1" x14ac:dyDescent="0.2">
      <c r="A18" s="247" t="s">
        <v>306</v>
      </c>
      <c r="B18" s="247"/>
      <c r="C18" s="247"/>
      <c r="D18" s="247"/>
      <c r="E18" s="247"/>
      <c r="F18" s="247"/>
      <c r="G18" s="65">
        <v>11</v>
      </c>
      <c r="H18" s="66">
        <f>H8+H9</f>
        <v>-723972</v>
      </c>
      <c r="I18" s="66">
        <f>I8+I9</f>
        <v>-1152597</v>
      </c>
    </row>
    <row r="19" spans="1:9" ht="12.75" customHeight="1" x14ac:dyDescent="0.2">
      <c r="A19" s="248" t="s">
        <v>180</v>
      </c>
      <c r="B19" s="248"/>
      <c r="C19" s="248"/>
      <c r="D19" s="248"/>
      <c r="E19" s="248"/>
      <c r="F19" s="248"/>
      <c r="G19" s="65">
        <v>12</v>
      </c>
      <c r="H19" s="66">
        <f>H20+H21+H22+H23</f>
        <v>-1160632</v>
      </c>
      <c r="I19" s="66">
        <f>I20+I21+I22+I23</f>
        <v>764247</v>
      </c>
    </row>
    <row r="20" spans="1:9" ht="12.75" customHeight="1" x14ac:dyDescent="0.2">
      <c r="A20" s="225" t="s">
        <v>181</v>
      </c>
      <c r="B20" s="225"/>
      <c r="C20" s="225"/>
      <c r="D20" s="225"/>
      <c r="E20" s="225"/>
      <c r="F20" s="225"/>
      <c r="G20" s="63">
        <v>13</v>
      </c>
      <c r="H20" s="64">
        <f>-796544-21546+6826+12137-169+113</f>
        <v>-799183</v>
      </c>
      <c r="I20" s="64">
        <f>200000+62280+213587+73150-706+80-1</f>
        <v>548390</v>
      </c>
    </row>
    <row r="21" spans="1:9" ht="12.75" customHeight="1" x14ac:dyDescent="0.2">
      <c r="A21" s="225" t="s">
        <v>182</v>
      </c>
      <c r="B21" s="225"/>
      <c r="C21" s="225"/>
      <c r="D21" s="225"/>
      <c r="E21" s="225"/>
      <c r="F21" s="225"/>
      <c r="G21" s="63">
        <v>14</v>
      </c>
      <c r="H21" s="64">
        <f>42173+94-388425-5089-2</f>
        <v>-351249</v>
      </c>
      <c r="I21" s="64">
        <f>127570-140+63601+24827-1</f>
        <v>215857</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v>-10200</v>
      </c>
      <c r="I23" s="64">
        <v>0</v>
      </c>
    </row>
    <row r="24" spans="1:9" ht="12.75" customHeight="1" x14ac:dyDescent="0.2">
      <c r="A24" s="247" t="s">
        <v>185</v>
      </c>
      <c r="B24" s="247"/>
      <c r="C24" s="247"/>
      <c r="D24" s="247"/>
      <c r="E24" s="247"/>
      <c r="F24" s="247"/>
      <c r="G24" s="65">
        <v>17</v>
      </c>
      <c r="H24" s="66">
        <f>H18+H19</f>
        <v>-1884604</v>
      </c>
      <c r="I24" s="66">
        <f>I18+I19</f>
        <v>-388350</v>
      </c>
    </row>
    <row r="25" spans="1:9" ht="12.75" customHeight="1" x14ac:dyDescent="0.2">
      <c r="A25" s="190" t="s">
        <v>186</v>
      </c>
      <c r="B25" s="190"/>
      <c r="C25" s="190"/>
      <c r="D25" s="190"/>
      <c r="E25" s="190"/>
      <c r="F25" s="190"/>
      <c r="G25" s="63">
        <v>18</v>
      </c>
      <c r="H25" s="64">
        <v>-159982</v>
      </c>
      <c r="I25" s="64">
        <v>-134216</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-2044586</v>
      </c>
      <c r="I27" s="66">
        <f>I24+I25+I26</f>
        <v>-522566</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4837</v>
      </c>
      <c r="I31" s="67">
        <v>698</v>
      </c>
    </row>
    <row r="32" spans="1:9" ht="12.75" customHeight="1" x14ac:dyDescent="0.2">
      <c r="A32" s="190" t="s">
        <v>193</v>
      </c>
      <c r="B32" s="190"/>
      <c r="C32" s="190"/>
      <c r="D32" s="190"/>
      <c r="E32" s="190"/>
      <c r="F32" s="190"/>
      <c r="G32" s="63">
        <v>24</v>
      </c>
      <c r="H32" s="67">
        <v>7750911</v>
      </c>
      <c r="I32" s="67">
        <v>6974248</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7755748</v>
      </c>
      <c r="I35" s="68">
        <f>I29+I30+I31+I32+I33+I34</f>
        <v>6974946</v>
      </c>
    </row>
    <row r="36" spans="1:9" ht="22.9" customHeight="1" x14ac:dyDescent="0.2">
      <c r="A36" s="190" t="s">
        <v>197</v>
      </c>
      <c r="B36" s="190"/>
      <c r="C36" s="190"/>
      <c r="D36" s="190"/>
      <c r="E36" s="190"/>
      <c r="F36" s="190"/>
      <c r="G36" s="63">
        <v>28</v>
      </c>
      <c r="H36" s="67">
        <f>-22686-148997</f>
        <v>-171683</v>
      </c>
      <c r="I36" s="67">
        <f>-91259-26550</f>
        <v>-117809</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-171683</v>
      </c>
      <c r="I41" s="68">
        <f>I36+I37+I38+I39+I40</f>
        <v>-117809</v>
      </c>
    </row>
    <row r="42" spans="1:9" ht="29.45" customHeight="1" x14ac:dyDescent="0.2">
      <c r="A42" s="252" t="s">
        <v>203</v>
      </c>
      <c r="B42" s="252"/>
      <c r="C42" s="252"/>
      <c r="D42" s="252"/>
      <c r="E42" s="252"/>
      <c r="F42" s="252"/>
      <c r="G42" s="65">
        <v>34</v>
      </c>
      <c r="H42" s="68">
        <f>H35+H41</f>
        <v>7584065</v>
      </c>
      <c r="I42" s="68">
        <f>I35+I41</f>
        <v>6857137</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2000000</v>
      </c>
    </row>
    <row r="47" spans="1:9" ht="12.75" customHeight="1" x14ac:dyDescent="0.2">
      <c r="A47" s="190" t="s">
        <v>208</v>
      </c>
      <c r="B47" s="190"/>
      <c r="C47" s="190"/>
      <c r="D47" s="190"/>
      <c r="E47" s="190"/>
      <c r="F47" s="190"/>
      <c r="G47" s="63">
        <v>38</v>
      </c>
      <c r="H47" s="67">
        <v>0</v>
      </c>
      <c r="I47" s="67">
        <v>3080</v>
      </c>
    </row>
    <row r="48" spans="1:9" ht="22.15" customHeight="1" x14ac:dyDescent="0.2">
      <c r="A48" s="247" t="s">
        <v>209</v>
      </c>
      <c r="B48" s="247"/>
      <c r="C48" s="247"/>
      <c r="D48" s="247"/>
      <c r="E48" s="247"/>
      <c r="F48" s="247"/>
      <c r="G48" s="65">
        <v>39</v>
      </c>
      <c r="H48" s="68">
        <f>H44+H45+H46+H47</f>
        <v>0</v>
      </c>
      <c r="I48" s="68">
        <f>I44+I45+I46+I47</f>
        <v>2003080</v>
      </c>
    </row>
    <row r="49" spans="1:9" ht="24.6" customHeight="1" x14ac:dyDescent="0.2">
      <c r="A49" s="190" t="s">
        <v>305</v>
      </c>
      <c r="B49" s="190"/>
      <c r="C49" s="190"/>
      <c r="D49" s="190"/>
      <c r="E49" s="190"/>
      <c r="F49" s="190"/>
      <c r="G49" s="63">
        <v>40</v>
      </c>
      <c r="H49" s="67">
        <v>-1428360</v>
      </c>
      <c r="I49" s="67">
        <v>-1419391</v>
      </c>
    </row>
    <row r="50" spans="1:9" ht="12.75" customHeight="1" x14ac:dyDescent="0.2">
      <c r="A50" s="190" t="s">
        <v>210</v>
      </c>
      <c r="B50" s="190"/>
      <c r="C50" s="190"/>
      <c r="D50" s="190"/>
      <c r="E50" s="190"/>
      <c r="F50" s="190"/>
      <c r="G50" s="63">
        <v>41</v>
      </c>
      <c r="H50" s="67">
        <v>-6540435</v>
      </c>
      <c r="I50" s="67">
        <v>-3924261</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f>-1318070-17441</f>
        <v>-1335511</v>
      </c>
      <c r="I53" s="67">
        <v>-3000000</v>
      </c>
    </row>
    <row r="54" spans="1:9" ht="30.6" customHeight="1" x14ac:dyDescent="0.2">
      <c r="A54" s="247" t="s">
        <v>214</v>
      </c>
      <c r="B54" s="247"/>
      <c r="C54" s="247"/>
      <c r="D54" s="247"/>
      <c r="E54" s="247"/>
      <c r="F54" s="247"/>
      <c r="G54" s="65">
        <v>45</v>
      </c>
      <c r="H54" s="68">
        <f>H49+H50+H51+H52+H53</f>
        <v>-9304306</v>
      </c>
      <c r="I54" s="68">
        <f>I49+I50+I51+I52+I53</f>
        <v>-8343652</v>
      </c>
    </row>
    <row r="55" spans="1:9" ht="29.45" customHeight="1" x14ac:dyDescent="0.2">
      <c r="A55" s="252" t="s">
        <v>215</v>
      </c>
      <c r="B55" s="252"/>
      <c r="C55" s="252"/>
      <c r="D55" s="252"/>
      <c r="E55" s="252"/>
      <c r="F55" s="252"/>
      <c r="G55" s="65">
        <v>46</v>
      </c>
      <c r="H55" s="68">
        <f>H48+H54</f>
        <v>-9304306</v>
      </c>
      <c r="I55" s="68">
        <f>I48+I54</f>
        <v>-6340572</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-3764827</v>
      </c>
      <c r="I57" s="68">
        <f>I27+I42+I55+I56</f>
        <v>-6001</v>
      </c>
    </row>
    <row r="58" spans="1:9" x14ac:dyDescent="0.2">
      <c r="A58" s="253" t="s">
        <v>218</v>
      </c>
      <c r="B58" s="253"/>
      <c r="C58" s="253"/>
      <c r="D58" s="253"/>
      <c r="E58" s="253"/>
      <c r="F58" s="253"/>
      <c r="G58" s="63">
        <v>49</v>
      </c>
      <c r="H58" s="67">
        <v>4611643</v>
      </c>
      <c r="I58" s="67">
        <v>846816</v>
      </c>
    </row>
    <row r="59" spans="1:9" ht="31.15" customHeight="1" x14ac:dyDescent="0.2">
      <c r="A59" s="252" t="s">
        <v>219</v>
      </c>
      <c r="B59" s="252"/>
      <c r="C59" s="252"/>
      <c r="D59" s="252"/>
      <c r="E59" s="252"/>
      <c r="F59" s="252"/>
      <c r="G59" s="65">
        <v>50</v>
      </c>
      <c r="H59" s="68">
        <f>H57+H58</f>
        <v>846816</v>
      </c>
      <c r="I59" s="68">
        <f>I57+I58</f>
        <v>840815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9" zoomScale="115" zoomScaleNormal="100" zoomScaleSheetLayoutView="115" workbookViewId="0">
      <selection activeCell="S23" sqref="S2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469</v>
      </c>
      <c r="B2" s="196"/>
      <c r="C2" s="196"/>
      <c r="D2" s="196"/>
      <c r="E2" s="196"/>
      <c r="F2" s="196"/>
      <c r="G2" s="196"/>
      <c r="H2" s="196"/>
      <c r="I2" s="196"/>
    </row>
    <row r="3" spans="1:9" x14ac:dyDescent="0.2">
      <c r="A3" s="267" t="s">
        <v>447</v>
      </c>
      <c r="B3" s="268"/>
      <c r="C3" s="268"/>
      <c r="D3" s="268"/>
      <c r="E3" s="268"/>
      <c r="F3" s="268"/>
      <c r="G3" s="268"/>
      <c r="H3" s="268"/>
      <c r="I3" s="268"/>
    </row>
    <row r="4" spans="1:9" x14ac:dyDescent="0.2">
      <c r="A4" s="244" t="s">
        <v>474</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v>0</v>
      </c>
      <c r="I13" s="56">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29" zoomScaleNormal="100" zoomScaleSheetLayoutView="100" workbookViewId="0">
      <selection activeCell="U54" sqref="U5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45412</v>
      </c>
      <c r="H2" s="27"/>
      <c r="I2" s="27"/>
      <c r="J2" s="27"/>
      <c r="K2" s="26"/>
      <c r="X2" s="28" t="s">
        <v>447</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34722596</v>
      </c>
      <c r="I7" s="33">
        <v>45066335</v>
      </c>
      <c r="J7" s="33">
        <v>326285</v>
      </c>
      <c r="K7" s="33">
        <v>0</v>
      </c>
      <c r="L7" s="33">
        <v>0</v>
      </c>
      <c r="M7" s="33">
        <v>0</v>
      </c>
      <c r="N7" s="33">
        <v>-3033</v>
      </c>
      <c r="O7" s="33">
        <v>0</v>
      </c>
      <c r="P7" s="33">
        <v>0</v>
      </c>
      <c r="Q7" s="33">
        <v>0</v>
      </c>
      <c r="R7" s="33">
        <v>0</v>
      </c>
      <c r="S7" s="33">
        <v>0</v>
      </c>
      <c r="T7" s="33">
        <v>0</v>
      </c>
      <c r="U7" s="33">
        <v>883190</v>
      </c>
      <c r="V7" s="33">
        <v>7974618</v>
      </c>
      <c r="W7" s="34">
        <f>H7+I7+J7+K7-L7+M7+N7+O7+P7+Q7+R7+U7+V7+S7+T7</f>
        <v>88969991</v>
      </c>
      <c r="X7" s="33">
        <v>0</v>
      </c>
      <c r="Y7" s="34">
        <f>W7+X7</f>
        <v>88969991</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34722596</v>
      </c>
      <c r="I10" s="34">
        <f t="shared" ref="I10:Y10" si="2">I7+I8+I9</f>
        <v>45066335</v>
      </c>
      <c r="J10" s="34">
        <f t="shared" si="2"/>
        <v>326285</v>
      </c>
      <c r="K10" s="34">
        <f>K7+K8+K9</f>
        <v>0</v>
      </c>
      <c r="L10" s="34">
        <f t="shared" si="2"/>
        <v>0</v>
      </c>
      <c r="M10" s="34">
        <f t="shared" si="2"/>
        <v>0</v>
      </c>
      <c r="N10" s="34">
        <f t="shared" si="2"/>
        <v>-3033</v>
      </c>
      <c r="O10" s="34">
        <f t="shared" si="2"/>
        <v>0</v>
      </c>
      <c r="P10" s="34">
        <f t="shared" si="2"/>
        <v>0</v>
      </c>
      <c r="Q10" s="34">
        <f t="shared" si="2"/>
        <v>0</v>
      </c>
      <c r="R10" s="34">
        <f t="shared" si="2"/>
        <v>0</v>
      </c>
      <c r="S10" s="34">
        <f t="shared" si="2"/>
        <v>0</v>
      </c>
      <c r="T10" s="34">
        <f t="shared" si="2"/>
        <v>0</v>
      </c>
      <c r="U10" s="34">
        <f t="shared" si="2"/>
        <v>883190</v>
      </c>
      <c r="V10" s="34">
        <f t="shared" si="2"/>
        <v>7974618</v>
      </c>
      <c r="W10" s="34">
        <f t="shared" si="2"/>
        <v>88969991</v>
      </c>
      <c r="X10" s="34">
        <f t="shared" si="2"/>
        <v>0</v>
      </c>
      <c r="Y10" s="34">
        <f t="shared" si="2"/>
        <v>88969991</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4591874</v>
      </c>
      <c r="W11" s="34">
        <f t="shared" ref="W11:W29" si="3">H11+I11+J11+K11-L11+M11+N11+O11+P11+Q11+R11+U11+V11+S11+T11</f>
        <v>4591874</v>
      </c>
      <c r="X11" s="33">
        <v>0</v>
      </c>
      <c r="Y11" s="34">
        <f t="shared" ref="Y11:Y29" si="4">W11+X11</f>
        <v>4591874</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-712334</v>
      </c>
      <c r="I19" s="33">
        <v>0</v>
      </c>
      <c r="J19" s="33">
        <v>0</v>
      </c>
      <c r="K19" s="33">
        <v>0</v>
      </c>
      <c r="L19" s="33">
        <v>0</v>
      </c>
      <c r="M19" s="33">
        <v>0</v>
      </c>
      <c r="N19" s="33">
        <v>715377</v>
      </c>
      <c r="O19" s="33">
        <v>0</v>
      </c>
      <c r="P19" s="33">
        <v>0</v>
      </c>
      <c r="Q19" s="33">
        <v>0</v>
      </c>
      <c r="R19" s="33">
        <v>0</v>
      </c>
      <c r="S19" s="33">
        <v>0</v>
      </c>
      <c r="T19" s="33">
        <v>0</v>
      </c>
      <c r="U19" s="33">
        <v>0</v>
      </c>
      <c r="V19" s="33">
        <v>-3043</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-6540434</v>
      </c>
      <c r="V26" s="33">
        <v>0</v>
      </c>
      <c r="W26" s="34">
        <f t="shared" si="3"/>
        <v>-6540434</v>
      </c>
      <c r="X26" s="33">
        <v>0</v>
      </c>
      <c r="Y26" s="34">
        <f t="shared" si="4"/>
        <v>-6540434</v>
      </c>
    </row>
    <row r="27" spans="1:25" ht="12.75" customHeight="1" x14ac:dyDescent="0.2">
      <c r="A27" s="278" t="s">
        <v>422</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423</v>
      </c>
      <c r="B28" s="278"/>
      <c r="C28" s="278"/>
      <c r="D28" s="278"/>
      <c r="E28" s="278"/>
      <c r="F28" s="278"/>
      <c r="G28" s="6">
        <v>22</v>
      </c>
      <c r="H28" s="33">
        <v>0</v>
      </c>
      <c r="I28" s="33">
        <v>0</v>
      </c>
      <c r="J28" s="33">
        <v>398578</v>
      </c>
      <c r="K28" s="33">
        <v>0</v>
      </c>
      <c r="L28" s="33">
        <v>0</v>
      </c>
      <c r="M28" s="33">
        <v>0</v>
      </c>
      <c r="N28" s="33">
        <v>0</v>
      </c>
      <c r="O28" s="33">
        <v>0</v>
      </c>
      <c r="P28" s="33">
        <v>0</v>
      </c>
      <c r="Q28" s="33">
        <v>0</v>
      </c>
      <c r="R28" s="33">
        <v>0</v>
      </c>
      <c r="S28" s="33">
        <v>0</v>
      </c>
      <c r="T28" s="33">
        <v>0</v>
      </c>
      <c r="U28" s="33">
        <v>7572995</v>
      </c>
      <c r="V28" s="33">
        <v>-7971573</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34010262</v>
      </c>
      <c r="I30" s="36">
        <f t="shared" ref="I30:Y30" si="5">SUM(I10:I29)</f>
        <v>45066335</v>
      </c>
      <c r="J30" s="36">
        <f t="shared" si="5"/>
        <v>724863</v>
      </c>
      <c r="K30" s="36">
        <f t="shared" si="5"/>
        <v>0</v>
      </c>
      <c r="L30" s="36">
        <f t="shared" si="5"/>
        <v>0</v>
      </c>
      <c r="M30" s="36">
        <f t="shared" si="5"/>
        <v>0</v>
      </c>
      <c r="N30" s="36">
        <f t="shared" si="5"/>
        <v>712344</v>
      </c>
      <c r="O30" s="36">
        <f t="shared" si="5"/>
        <v>0</v>
      </c>
      <c r="P30" s="36">
        <f t="shared" si="5"/>
        <v>0</v>
      </c>
      <c r="Q30" s="36">
        <f t="shared" si="5"/>
        <v>0</v>
      </c>
      <c r="R30" s="36">
        <f t="shared" si="5"/>
        <v>0</v>
      </c>
      <c r="S30" s="36">
        <f t="shared" si="5"/>
        <v>0</v>
      </c>
      <c r="T30" s="36">
        <f t="shared" si="5"/>
        <v>0</v>
      </c>
      <c r="U30" s="36">
        <f t="shared" si="5"/>
        <v>1915751</v>
      </c>
      <c r="V30" s="36">
        <f t="shared" si="5"/>
        <v>4591876</v>
      </c>
      <c r="W30" s="36">
        <f t="shared" si="5"/>
        <v>87021431</v>
      </c>
      <c r="X30" s="36">
        <f t="shared" si="5"/>
        <v>0</v>
      </c>
      <c r="Y30" s="36">
        <f t="shared" si="5"/>
        <v>87021431</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-712334</v>
      </c>
      <c r="I32" s="34">
        <f t="shared" ref="I32:Y32" si="6">SUM(I12:I20)</f>
        <v>0</v>
      </c>
      <c r="J32" s="34">
        <f t="shared" si="6"/>
        <v>0</v>
      </c>
      <c r="K32" s="34">
        <f t="shared" si="6"/>
        <v>0</v>
      </c>
      <c r="L32" s="34">
        <f t="shared" si="6"/>
        <v>0</v>
      </c>
      <c r="M32" s="34">
        <f t="shared" si="6"/>
        <v>0</v>
      </c>
      <c r="N32" s="34">
        <f t="shared" si="6"/>
        <v>715377</v>
      </c>
      <c r="O32" s="34">
        <f t="shared" si="6"/>
        <v>0</v>
      </c>
      <c r="P32" s="34">
        <f t="shared" si="6"/>
        <v>0</v>
      </c>
      <c r="Q32" s="34">
        <f t="shared" si="6"/>
        <v>0</v>
      </c>
      <c r="R32" s="34">
        <f t="shared" si="6"/>
        <v>0</v>
      </c>
      <c r="S32" s="34">
        <f t="shared" ref="S32:T32" si="7">SUM(S12:S20)</f>
        <v>0</v>
      </c>
      <c r="T32" s="34">
        <f t="shared" si="7"/>
        <v>0</v>
      </c>
      <c r="U32" s="34">
        <f t="shared" si="6"/>
        <v>0</v>
      </c>
      <c r="V32" s="34">
        <f t="shared" si="6"/>
        <v>-3043</v>
      </c>
      <c r="W32" s="34">
        <f t="shared" si="6"/>
        <v>0</v>
      </c>
      <c r="X32" s="34">
        <f t="shared" si="6"/>
        <v>0</v>
      </c>
      <c r="Y32" s="34">
        <f t="shared" si="6"/>
        <v>0</v>
      </c>
    </row>
    <row r="33" spans="1:25" ht="31.5" customHeight="1" x14ac:dyDescent="0.2">
      <c r="A33" s="299" t="s">
        <v>426</v>
      </c>
      <c r="B33" s="299"/>
      <c r="C33" s="299"/>
      <c r="D33" s="299"/>
      <c r="E33" s="299"/>
      <c r="F33" s="299"/>
      <c r="G33" s="7">
        <v>26</v>
      </c>
      <c r="H33" s="34">
        <f>H11+H32</f>
        <v>-712334</v>
      </c>
      <c r="I33" s="34">
        <f t="shared" ref="I33:Y33" si="8">I11+I32</f>
        <v>0</v>
      </c>
      <c r="J33" s="34">
        <f t="shared" si="8"/>
        <v>0</v>
      </c>
      <c r="K33" s="34">
        <f t="shared" si="8"/>
        <v>0</v>
      </c>
      <c r="L33" s="34">
        <f t="shared" si="8"/>
        <v>0</v>
      </c>
      <c r="M33" s="34">
        <f t="shared" si="8"/>
        <v>0</v>
      </c>
      <c r="N33" s="34">
        <f t="shared" si="8"/>
        <v>715377</v>
      </c>
      <c r="O33" s="34">
        <f t="shared" si="8"/>
        <v>0</v>
      </c>
      <c r="P33" s="34">
        <f t="shared" si="8"/>
        <v>0</v>
      </c>
      <c r="Q33" s="34">
        <f t="shared" si="8"/>
        <v>0</v>
      </c>
      <c r="R33" s="34">
        <f t="shared" si="8"/>
        <v>0</v>
      </c>
      <c r="S33" s="34">
        <f t="shared" ref="S33:T33" si="9">S11+S32</f>
        <v>0</v>
      </c>
      <c r="T33" s="34">
        <f t="shared" si="9"/>
        <v>0</v>
      </c>
      <c r="U33" s="34">
        <f t="shared" si="8"/>
        <v>0</v>
      </c>
      <c r="V33" s="34">
        <f t="shared" si="8"/>
        <v>4588831</v>
      </c>
      <c r="W33" s="34">
        <f t="shared" si="8"/>
        <v>4591874</v>
      </c>
      <c r="X33" s="34">
        <f t="shared" si="8"/>
        <v>0</v>
      </c>
      <c r="Y33" s="34">
        <f t="shared" si="8"/>
        <v>4591874</v>
      </c>
    </row>
    <row r="34" spans="1:25" ht="30.75" customHeight="1" x14ac:dyDescent="0.2">
      <c r="A34" s="300" t="s">
        <v>427</v>
      </c>
      <c r="B34" s="300"/>
      <c r="C34" s="300"/>
      <c r="D34" s="300"/>
      <c r="E34" s="300"/>
      <c r="F34" s="300"/>
      <c r="G34" s="8">
        <v>27</v>
      </c>
      <c r="H34" s="36">
        <f>SUM(H21:H29)</f>
        <v>0</v>
      </c>
      <c r="I34" s="36">
        <f t="shared" ref="I34:Y34" si="10">SUM(I21:I29)</f>
        <v>0</v>
      </c>
      <c r="J34" s="36">
        <f t="shared" si="10"/>
        <v>398578</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1032561</v>
      </c>
      <c r="V34" s="36">
        <f t="shared" si="10"/>
        <v>-7971573</v>
      </c>
      <c r="W34" s="36">
        <f t="shared" si="10"/>
        <v>-6540434</v>
      </c>
      <c r="X34" s="36">
        <f t="shared" si="10"/>
        <v>0</v>
      </c>
      <c r="Y34" s="36">
        <f t="shared" si="10"/>
        <v>-6540434</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34010262</v>
      </c>
      <c r="I36" s="33">
        <v>45066335</v>
      </c>
      <c r="J36" s="33">
        <v>724863</v>
      </c>
      <c r="K36" s="33">
        <v>0</v>
      </c>
      <c r="L36" s="33">
        <v>0</v>
      </c>
      <c r="M36" s="33">
        <v>0</v>
      </c>
      <c r="N36" s="33">
        <v>712344</v>
      </c>
      <c r="O36" s="33">
        <v>0</v>
      </c>
      <c r="P36" s="33">
        <v>0</v>
      </c>
      <c r="Q36" s="33">
        <v>0</v>
      </c>
      <c r="R36" s="33">
        <v>0</v>
      </c>
      <c r="S36" s="33">
        <v>0</v>
      </c>
      <c r="T36" s="33">
        <v>0</v>
      </c>
      <c r="U36" s="33">
        <v>1915751</v>
      </c>
      <c r="V36" s="33">
        <v>4591876</v>
      </c>
      <c r="W36" s="37">
        <f>H36+I36+J36+K36-L36+M36+N36+O36+P36+Q36+R36+U36+V36+S36+T36</f>
        <v>87021431</v>
      </c>
      <c r="X36" s="33">
        <v>0</v>
      </c>
      <c r="Y36" s="37">
        <f t="shared" ref="Y36:Y38" si="12">W36+X36</f>
        <v>87021431</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34010262</v>
      </c>
      <c r="I39" s="34">
        <f t="shared" ref="I39:Y39" si="14">I36+I37+I38</f>
        <v>45066335</v>
      </c>
      <c r="J39" s="34">
        <f t="shared" si="14"/>
        <v>724863</v>
      </c>
      <c r="K39" s="34">
        <f t="shared" si="14"/>
        <v>0</v>
      </c>
      <c r="L39" s="34">
        <f t="shared" si="14"/>
        <v>0</v>
      </c>
      <c r="M39" s="34">
        <f t="shared" si="14"/>
        <v>0</v>
      </c>
      <c r="N39" s="34">
        <f t="shared" si="14"/>
        <v>712344</v>
      </c>
      <c r="O39" s="34">
        <f t="shared" si="14"/>
        <v>0</v>
      </c>
      <c r="P39" s="34">
        <f t="shared" si="14"/>
        <v>0</v>
      </c>
      <c r="Q39" s="34">
        <f t="shared" si="14"/>
        <v>0</v>
      </c>
      <c r="R39" s="34">
        <f t="shared" si="14"/>
        <v>0</v>
      </c>
      <c r="S39" s="34">
        <f t="shared" si="14"/>
        <v>0</v>
      </c>
      <c r="T39" s="34">
        <f t="shared" si="14"/>
        <v>0</v>
      </c>
      <c r="U39" s="34">
        <f t="shared" si="14"/>
        <v>1915751</v>
      </c>
      <c r="V39" s="34">
        <f t="shared" si="14"/>
        <v>4591876</v>
      </c>
      <c r="W39" s="34">
        <f t="shared" si="14"/>
        <v>87021431</v>
      </c>
      <c r="X39" s="34">
        <f t="shared" si="14"/>
        <v>0</v>
      </c>
      <c r="Y39" s="34">
        <f t="shared" si="14"/>
        <v>87021431</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8281934</v>
      </c>
      <c r="W40" s="37">
        <f t="shared" ref="W40:W58" si="15">H40+I40+J40+K40-L40+M40+N40+O40+P40+Q40+R40+U40+V40+S40+T40</f>
        <v>8281934</v>
      </c>
      <c r="X40" s="33">
        <v>0</v>
      </c>
      <c r="Y40" s="37">
        <f t="shared" ref="Y40:Y58" si="16">W40+X40</f>
        <v>8281934</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-3924261</v>
      </c>
      <c r="V55" s="33">
        <v>0</v>
      </c>
      <c r="W55" s="37">
        <f t="shared" si="15"/>
        <v>-3924261</v>
      </c>
      <c r="X55" s="33">
        <v>0</v>
      </c>
      <c r="Y55" s="37">
        <f t="shared" si="16"/>
        <v>-3924261</v>
      </c>
    </row>
    <row r="56" spans="1:25" ht="12.75" customHeight="1" x14ac:dyDescent="0.2">
      <c r="A56" s="278" t="s">
        <v>422</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430</v>
      </c>
      <c r="B57" s="278"/>
      <c r="C57" s="278"/>
      <c r="D57" s="278"/>
      <c r="E57" s="278"/>
      <c r="F57" s="278"/>
      <c r="G57" s="6">
        <v>49</v>
      </c>
      <c r="H57" s="33">
        <v>0</v>
      </c>
      <c r="I57" s="33">
        <v>0</v>
      </c>
      <c r="J57" s="33">
        <v>229595</v>
      </c>
      <c r="K57" s="33">
        <v>0</v>
      </c>
      <c r="L57" s="33">
        <v>0</v>
      </c>
      <c r="M57" s="33">
        <v>0</v>
      </c>
      <c r="N57" s="33">
        <v>0</v>
      </c>
      <c r="O57" s="33">
        <v>0</v>
      </c>
      <c r="P57" s="33">
        <v>0</v>
      </c>
      <c r="Q57" s="33">
        <v>0</v>
      </c>
      <c r="R57" s="33">
        <v>0</v>
      </c>
      <c r="S57" s="33">
        <v>0</v>
      </c>
      <c r="T57" s="33">
        <v>0</v>
      </c>
      <c r="U57" s="33">
        <v>4362281</v>
      </c>
      <c r="V57" s="33">
        <v>-4591876</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34010262</v>
      </c>
      <c r="I59" s="36">
        <f t="shared" ref="I59:Y59" si="17">SUM(I39:I58)</f>
        <v>45066335</v>
      </c>
      <c r="J59" s="36">
        <f t="shared" si="17"/>
        <v>954458</v>
      </c>
      <c r="K59" s="36">
        <f t="shared" si="17"/>
        <v>0</v>
      </c>
      <c r="L59" s="36">
        <f t="shared" si="17"/>
        <v>0</v>
      </c>
      <c r="M59" s="36">
        <f t="shared" si="17"/>
        <v>0</v>
      </c>
      <c r="N59" s="36">
        <f t="shared" si="17"/>
        <v>712344</v>
      </c>
      <c r="O59" s="36">
        <f t="shared" si="17"/>
        <v>0</v>
      </c>
      <c r="P59" s="36">
        <f t="shared" si="17"/>
        <v>0</v>
      </c>
      <c r="Q59" s="36">
        <f t="shared" si="17"/>
        <v>0</v>
      </c>
      <c r="R59" s="36">
        <f t="shared" si="17"/>
        <v>0</v>
      </c>
      <c r="S59" s="36">
        <f t="shared" si="17"/>
        <v>0</v>
      </c>
      <c r="T59" s="36">
        <f t="shared" si="17"/>
        <v>0</v>
      </c>
      <c r="U59" s="36">
        <f t="shared" si="17"/>
        <v>2353771</v>
      </c>
      <c r="V59" s="36">
        <f t="shared" si="17"/>
        <v>8281934</v>
      </c>
      <c r="W59" s="36">
        <f t="shared" si="17"/>
        <v>91379104</v>
      </c>
      <c r="X59" s="36">
        <f t="shared" si="17"/>
        <v>0</v>
      </c>
      <c r="Y59" s="36">
        <f t="shared" si="17"/>
        <v>91379104</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8281934</v>
      </c>
      <c r="W62" s="37">
        <f t="shared" si="20"/>
        <v>8281934</v>
      </c>
      <c r="X62" s="37">
        <f t="shared" si="20"/>
        <v>0</v>
      </c>
      <c r="Y62" s="37">
        <f t="shared" si="20"/>
        <v>8281934</v>
      </c>
    </row>
    <row r="63" spans="1:25" ht="29.25" customHeight="1" x14ac:dyDescent="0.2">
      <c r="A63" s="300" t="s">
        <v>434</v>
      </c>
      <c r="B63" s="300"/>
      <c r="C63" s="300"/>
      <c r="D63" s="300"/>
      <c r="E63" s="300"/>
      <c r="F63" s="300"/>
      <c r="G63" s="8">
        <v>54</v>
      </c>
      <c r="H63" s="38">
        <f>SUM(H50:H58)</f>
        <v>0</v>
      </c>
      <c r="I63" s="38">
        <f t="shared" ref="I63:Y63" si="22">SUM(I50:I58)</f>
        <v>0</v>
      </c>
      <c r="J63" s="38">
        <f t="shared" si="22"/>
        <v>229595</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438020</v>
      </c>
      <c r="V63" s="38">
        <f t="shared" si="22"/>
        <v>-4591876</v>
      </c>
      <c r="W63" s="38">
        <f t="shared" si="22"/>
        <v>-3924261</v>
      </c>
      <c r="X63" s="38">
        <f t="shared" si="22"/>
        <v>0</v>
      </c>
      <c r="Y63" s="38">
        <f t="shared" si="22"/>
        <v>-3924261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2826D7DAB757478C3663550B44ACB7" ma:contentTypeVersion="20" ma:contentTypeDescription="Create a new document." ma:contentTypeScope="" ma:versionID="4b8651e68cb689ca7dcf91bad2815e21">
  <xsd:schema xmlns:xsd="http://www.w3.org/2001/XMLSchema" xmlns:xs="http://www.w3.org/2001/XMLSchema" xmlns:p="http://schemas.microsoft.com/office/2006/metadata/properties" xmlns:ns2="d6bd6980-6576-488d-b6ad-5f5a807746e9" xmlns:ns3="343d644a-7fed-4d2c-8990-419d1227040d" targetNamespace="http://schemas.microsoft.com/office/2006/metadata/properties" ma:root="true" ma:fieldsID="a6cec1b89eff8e6ee5bafe3222fe2abc" ns2:_="" ns3:_="">
    <xsd:import namespace="d6bd6980-6576-488d-b6ad-5f5a807746e9"/>
    <xsd:import namespace="343d644a-7fed-4d2c-8990-419d122704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bd6980-6576-488d-b6ad-5f5a80774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6bf25a-18fe-4b39-83e0-80279d1083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d644a-7fed-4d2c-8990-419d1227040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17b612c-8b7a-46f3-be84-b0624ca937d0}" ma:internalName="TaxCatchAll" ma:showField="CatchAllData" ma:web="343d644a-7fed-4d2c-8990-419d122704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43d644a-7fed-4d2c-8990-419d1227040d" xsi:nil="true"/>
    <lcf76f155ced4ddcb4097134ff3c332f xmlns="d6bd6980-6576-488d-b6ad-5f5a807746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9327AB-89C7-4059-804A-1F55AC494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bd6980-6576-488d-b6ad-5f5a807746e9"/>
    <ds:schemaRef ds:uri="343d644a-7fed-4d2c-8990-419d122704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9c4ab42-f3b3-424d-9a1e-124327fb8205"/>
    <ds:schemaRef ds:uri="92ea723f-5ee4-43d5-aa6d-e3a7676b1fab"/>
    <ds:schemaRef ds:uri="343d644a-7fed-4d2c-8990-419d1227040d"/>
    <ds:schemaRef ds:uri="d6bd6980-6576-488d-b6ad-5f5a807746e9"/>
    <ds:schemaRef ds:uri="a4644883-c029-4b3c-9baf-b0ed4e6efd49"/>
    <ds:schemaRef ds:uri="306be473-9543-4928-8c33-d15bf4c5d605"/>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DOMAĆINA</cp:lastModifiedBy>
  <cp:lastPrinted>2018-04-25T06:49:36Z</cp:lastPrinted>
  <dcterms:created xsi:type="dcterms:W3CDTF">2008-10-17T11:51:54Z</dcterms:created>
  <dcterms:modified xsi:type="dcterms:W3CDTF">2025-02-28T09:06:32Z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0x010100852826D7DAB757478C3663550B44ACB7</vt:lpwstr>
  </property>
  <property fmtid="{D5CDD505-2E9C-101B-9397-08002B2CF9AE}" pid="3" name="MediaServiceImageTags">
    <vt:lpwstr/>
  </property>
</Properties>
</file>