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saveExternalLinkValues="0" codeName="ThisWorkbook" defaultThemeVersion="124226"/>
  <mc:AlternateContent xmlns:mc="http://schemas.openxmlformats.org/markup-compatibility/2006">
    <mc:Choice Requires="x15">
      <x15ac:absPath xmlns:x15ac="http://schemas.microsoft.com/office/spreadsheetml/2010/11/ac" url="Y:\JAVNA OBJAVA\2025 JAVNA OBJAVA ZTK\2. kvartal 2025\1-6 GRUPA\"/>
    </mc:Choice>
  </mc:AlternateContent>
  <xr:revisionPtr revIDLastSave="0" documentId="13_ncr:1_{CB815B36-1153-44D2-8383-A1FE109A76F7}"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1" i="18" l="1"/>
  <c r="I104" i="18"/>
  <c r="U57" i="22"/>
  <c r="I93" i="18"/>
  <c r="I76" i="18"/>
  <c r="O42" i="22"/>
  <c r="I68" i="18"/>
  <c r="I71" i="18"/>
  <c r="I46" i="18"/>
  <c r="C29" i="25"/>
  <c r="H16" i="18"/>
  <c r="I28" i="26"/>
  <c r="I106" i="26"/>
  <c r="K97" i="26"/>
  <c r="K52" i="26"/>
  <c r="K51" i="26"/>
  <c r="K49" i="26"/>
  <c r="K45" i="26"/>
  <c r="K44" i="26"/>
  <c r="K36" i="26"/>
  <c r="K25" i="26"/>
  <c r="K24" i="26"/>
  <c r="K23" i="26"/>
  <c r="K22" i="26"/>
  <c r="K21" i="26"/>
  <c r="K19" i="26"/>
  <c r="K18" i="26"/>
  <c r="K17" i="26"/>
  <c r="K13" i="26"/>
  <c r="K10" i="26"/>
  <c r="I52" i="26"/>
  <c r="I51" i="26"/>
  <c r="I49" i="26"/>
  <c r="I45" i="26"/>
  <c r="I44" i="26"/>
  <c r="I36" i="26"/>
  <c r="I25" i="26"/>
  <c r="I24" i="26"/>
  <c r="I23" i="26"/>
  <c r="I22" i="26"/>
  <c r="I21" i="26"/>
  <c r="I19" i="26"/>
  <c r="I17" i="26"/>
  <c r="I13" i="26"/>
  <c r="I10" i="26"/>
  <c r="K50" i="26" l="1"/>
  <c r="K46" i="26"/>
  <c r="K47" i="26"/>
  <c r="K11" i="26"/>
  <c r="K12" i="26"/>
  <c r="I12" i="26"/>
  <c r="I11" i="26"/>
  <c r="I9" i="26"/>
  <c r="K92" i="26" l="1"/>
  <c r="K32" i="26" l="1"/>
  <c r="K35" i="26"/>
  <c r="K30" i="26" l="1"/>
  <c r="I31" i="26"/>
  <c r="I32" i="26"/>
  <c r="I33" i="26"/>
  <c r="I34" i="26"/>
  <c r="I35" i="26"/>
  <c r="I30" i="26"/>
  <c r="O36" i="22" l="1"/>
  <c r="K28" i="26"/>
  <c r="P43" i="22"/>
  <c r="N36" i="22" l="1"/>
  <c r="I105" i="18"/>
  <c r="K41" i="26" l="1"/>
  <c r="P36" i="22" l="1"/>
  <c r="I36" i="22"/>
  <c r="H54" i="22" s="1"/>
  <c r="H36" i="22"/>
  <c r="Q15" i="22"/>
  <c r="I91" i="18"/>
  <c r="I54" i="22" l="1"/>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S39" i="22"/>
  <c r="S59" i="22" s="1"/>
  <c r="T39" i="22"/>
  <c r="T59" i="22" s="1"/>
  <c r="W37" i="22"/>
  <c r="W38" i="22"/>
  <c r="W25" i="22"/>
  <c r="Y25" i="22" s="1"/>
  <c r="W12" i="22"/>
  <c r="W13" i="22"/>
  <c r="W14" i="22"/>
  <c r="W15" i="22"/>
  <c r="W16" i="22"/>
  <c r="W17" i="22"/>
  <c r="W18" i="22"/>
  <c r="W19" i="22"/>
  <c r="W20" i="22"/>
  <c r="W21" i="22"/>
  <c r="W22" i="22"/>
  <c r="W23" i="22"/>
  <c r="W24" i="22"/>
  <c r="W26" i="22"/>
  <c r="W27" i="22"/>
  <c r="W29"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K66" i="26" s="1"/>
  <c r="H62" i="26"/>
  <c r="H64" i="26"/>
  <c r="I51" i="21"/>
  <c r="I53" i="21" s="1"/>
  <c r="H51" i="21"/>
  <c r="H53" i="21" s="1"/>
  <c r="K86" i="26" l="1"/>
  <c r="H68" i="26"/>
  <c r="J67" i="26"/>
  <c r="I67" i="26"/>
  <c r="I68" i="26"/>
  <c r="J66" i="26"/>
  <c r="V40" i="22" s="1"/>
  <c r="W40" i="22" s="1"/>
  <c r="J68" i="26"/>
  <c r="K67" i="26"/>
  <c r="K68" i="26"/>
  <c r="H66" i="26"/>
  <c r="H67" i="26"/>
  <c r="I85" i="18"/>
  <c r="H85" i="18"/>
  <c r="V11" i="22" l="1"/>
  <c r="W11" i="22" s="1"/>
  <c r="J86" i="26"/>
  <c r="K85" i="26"/>
  <c r="K89" i="26"/>
  <c r="K109" i="26" s="1"/>
  <c r="K112" i="26" s="1"/>
  <c r="I85" i="26"/>
  <c r="I109" i="26"/>
  <c r="I112" i="26" s="1"/>
  <c r="I111" i="26" s="1"/>
  <c r="I78" i="18"/>
  <c r="H78" i="18"/>
  <c r="J89" i="26" l="1"/>
  <c r="J109" i="26" s="1"/>
  <c r="J85" i="26"/>
  <c r="H109" i="26"/>
  <c r="H111" i="26" s="1"/>
  <c r="H85" i="26"/>
  <c r="K111" i="26"/>
  <c r="H54" i="20"/>
  <c r="H48" i="20"/>
  <c r="H41" i="20"/>
  <c r="H35" i="20"/>
  <c r="H19" i="20"/>
  <c r="I9" i="20"/>
  <c r="H117" i="18"/>
  <c r="H105" i="18"/>
  <c r="H98" i="18"/>
  <c r="H94" i="18"/>
  <c r="V36" i="22" s="1"/>
  <c r="H91" i="18"/>
  <c r="U36" i="22" s="1"/>
  <c r="H60" i="18"/>
  <c r="H53" i="18"/>
  <c r="H45" i="18"/>
  <c r="H38" i="18"/>
  <c r="H27" i="18"/>
  <c r="H17" i="18"/>
  <c r="H10" i="18"/>
  <c r="H63" i="22"/>
  <c r="H61" i="22"/>
  <c r="H62" i="22" s="1"/>
  <c r="H39" i="22"/>
  <c r="H59" i="22" s="1"/>
  <c r="H34" i="22"/>
  <c r="H32" i="22"/>
  <c r="H33" i="22" s="1"/>
  <c r="K10" i="22"/>
  <c r="J112" i="26" l="1"/>
  <c r="J111" i="26" s="1"/>
  <c r="V57" i="22"/>
  <c r="W36" i="22"/>
  <c r="Y36" i="22" s="1"/>
  <c r="H42" i="20"/>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7" i="22"/>
  <c r="Y26" i="22"/>
  <c r="Y24" i="22"/>
  <c r="Y23" i="22"/>
  <c r="Y22" i="22"/>
  <c r="Y21" i="22"/>
  <c r="Y20" i="22"/>
  <c r="Y19" i="22"/>
  <c r="Y18" i="22"/>
  <c r="Y17" i="22"/>
  <c r="Y16" i="22"/>
  <c r="Y15" i="22"/>
  <c r="Y14" i="22"/>
  <c r="Y13" i="22"/>
  <c r="Y12" i="22"/>
  <c r="Y11" i="22"/>
  <c r="X10" i="22"/>
  <c r="X30" i="22" s="1"/>
  <c r="V10" i="22"/>
  <c r="U10" i="22"/>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H9" i="20"/>
  <c r="H18" i="20" s="1"/>
  <c r="H24" i="20" s="1"/>
  <c r="H27" i="20" s="1"/>
  <c r="I98" i="18"/>
  <c r="I94" i="18"/>
  <c r="I8" i="20" s="1"/>
  <c r="I18" i="20" s="1"/>
  <c r="I60" i="18"/>
  <c r="I53" i="18"/>
  <c r="I45" i="18"/>
  <c r="I38" i="18"/>
  <c r="I27" i="18"/>
  <c r="I17" i="18"/>
  <c r="I10" i="18"/>
  <c r="H57" i="20" l="1"/>
  <c r="H59" i="20" s="1"/>
  <c r="W57" i="22"/>
  <c r="Y57" i="22" s="1"/>
  <c r="Y63" i="22" s="1"/>
  <c r="U30" i="22"/>
  <c r="I24" i="20"/>
  <c r="I27" i="20" s="1"/>
  <c r="I55" i="20"/>
  <c r="H72" i="18"/>
  <c r="I44" i="18"/>
  <c r="I75" i="18"/>
  <c r="I9" i="18"/>
  <c r="I42" i="20"/>
  <c r="Y61" i="22"/>
  <c r="Y62" i="22" s="1"/>
  <c r="W61" i="22"/>
  <c r="W62" i="22" s="1"/>
  <c r="Y32" i="22"/>
  <c r="Y33" i="22" s="1"/>
  <c r="W32" i="22"/>
  <c r="W33" i="22" s="1"/>
  <c r="Y39" i="22"/>
  <c r="W39" i="22"/>
  <c r="Y10" i="22"/>
  <c r="W10" i="22"/>
  <c r="W59" i="22" l="1"/>
  <c r="W63" i="22"/>
  <c r="Y59" i="22"/>
  <c r="W28" i="22"/>
  <c r="U34" i="22"/>
  <c r="I57" i="20"/>
  <c r="I59" i="20" s="1"/>
  <c r="I72" i="18"/>
  <c r="I117" i="18"/>
  <c r="I133" i="18" s="1"/>
  <c r="Y28" i="22" l="1"/>
  <c r="W34" i="22"/>
  <c r="V34" i="22"/>
  <c r="V30" i="22"/>
  <c r="W30" i="22"/>
  <c r="Y34" i="22" l="1"/>
  <c r="Y30" i="22"/>
</calcChain>
</file>

<file path=xl/sharedStrings.xml><?xml version="1.0" encoding="utf-8"?>
<sst xmlns="http://schemas.openxmlformats.org/spreadsheetml/2006/main" count="540" uniqueCount="474">
  <si>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</si>
  <si>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</si>
  <si>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</si>
  <si>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</si>
  <si>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</si>
  <si>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</si>
  <si>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</si>
  <si>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</si>
  <si>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</si>
  <si>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</si>
  <si>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</si>
  <si>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</si>
  <si>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</si>
  <si>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</si>
  <si>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</si>
  <si>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</si>
  <si>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</si>
  <si>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</si>
  <si>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</si>
  <si>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</si>
  <si>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</si>
  <si>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</si>
  <si>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</si>
  <si>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</si>
  <si>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</si>
  <si>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</si>
  <si>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</si>
  <si>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</si>
  <si>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</si>
  <si>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</si>
  <si>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</si>
  <si>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</si>
  <si>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</si>
  <si>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</si>
  <si>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</si>
  <si>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</si>
  <si>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</si>
  <si>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</si>
  <si>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</si>
  <si>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</si>
  <si>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</si>
  <si>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</si>
  <si>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</si>
  <si>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</si>
  <si>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</si>
  <si>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</si>
  <si>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</si>
  <si>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</si>
  <si>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</si>
  <si>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</si>
  <si>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</si>
  <si>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</si>
  <si>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</si>
  <si>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</si>
  <si>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</si>
  <si>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</si>
  <si>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</si>
  <si>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</si>
  <si>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</si>
  <si>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</si>
  <si>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</si>
  <si>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</si>
  <si>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</si>
  <si>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</si>
  <si>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</si>
  <si>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</si>
  <si>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</si>
  <si>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</si>
  <si>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</si>
  <si>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</si>
  <si>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</si>
  <si>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</si>
  <si>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</si>
  <si>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</si>
  <si>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</si>
  <si>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</si>
  <si>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</si>
  <si>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</si>
  <si>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</si>
  <si>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</si>
  <si>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</si>
  <si>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</si>
  <si>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</si>
  <si>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</si>
  <si>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</si>
  <si>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</si>
  <si>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</si>
  <si>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</si>
  <si>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</si>
  <si>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</si>
  <si>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</si>
  <si>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</si>
  <si>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</si>
  <si>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</si>
  <si>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</si>
  <si>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</si>
  <si>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</si>
  <si>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</si>
  <si>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</si>
  <si>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</si>
  <si>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</si>
  <si>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</si>
  <si>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</si>
  <si>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</si>
  <si>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</si>
  <si>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</si>
  <si>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</si>
  <si>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</si>
  <si>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</si>
  <si>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</si>
  <si>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</si>
  <si>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</si>
  <si>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</si>
  <si>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</si>
  <si>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</si>
  <si>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</si>
  <si>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</si>
  <si>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</si>
  <si>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</si>
  <si>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</si>
  <si>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</si>
  <si>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</si>
  <si>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</si>
  <si>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</si>
  <si>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</si>
  <si>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</si>
  <si>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</si>
  <si>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</si>
  <si>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</si>
  <si>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</si>
  <si>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</si>
  <si>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</si>
  <si>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</si>
  <si>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</si>
  <si>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</si>
  <si>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</si>
  <si>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</si>
  <si>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</si>
  <si>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</si>
  <si>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</si>
  <si>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</si>
  <si>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</si>
  <si>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</si>
  <si>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</si>
  <si>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</si>
  <si>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</si>
  <si>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</si>
  <si>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</si>
  <si>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</si>
  <si>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</si>
  <si>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</si>
  <si>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</si>
  <si>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</si>
  <si>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</si>
  <si>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</si>
  <si>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</si>
  <si>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</si>
  <si>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</si>
  <si>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</si>
  <si>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</si>
  <si>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</si>
  <si>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</si>
  <si>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</si>
  <si>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</si>
  <si>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</si>
  <si>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</si>
  <si>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</si>
  <si>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</si>
  <si>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</si>
  <si>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</si>
  <si>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</si>
  <si>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</si>
  <si>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</si>
  <si>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</si>
  <si>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</si>
  <si>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</si>
  <si>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</si>
  <si>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</si>
  <si>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</si>
  <si>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</si>
  <si>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</si>
  <si>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</si>
  <si>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</si>
  <si>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</si>
  <si>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</si>
  <si>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</si>
  <si>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</si>
  <si>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</si>
  <si>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</si>
  <si>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</si>
  <si>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</si>
  <si>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</si>
  <si>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</si>
  <si>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</si>
  <si>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</si>
  <si>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</si>
  <si>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</si>
  <si>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</si>
  <si>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</si>
  <si>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</si>
  <si>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</si>
  <si>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</si>
  <si>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</si>
  <si>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</si>
  <si>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</si>
  <si>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</si>
  <si>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</si>
  <si>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</si>
  <si>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</si>
  <si>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</si>
  <si>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</si>
  <si>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</si>
  <si>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</si>
  <si>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</si>
  <si>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</si>
  <si>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</si>
  <si>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</si>
  <si>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</si>
  <si>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</si>
  <si>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</si>
  <si>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</si>
  <si>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</si>
  <si>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</si>
  <si>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</si>
  <si>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</si>
  <si>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</si>
  <si>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</si>
  <si>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</si>
  <si>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</si>
  <si>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</si>
  <si>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</si>
  <si>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</si>
  <si>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</si>
  <si>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</si>
  <si>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</si>
  <si>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</si>
  <si>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</si>
  <si>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</si>
  <si>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</si>
  <si>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</si>
  <si>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</si>
  <si>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</si>
  <si>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</si>
  <si>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</si>
  <si>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</si>
  <si>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</si>
  <si>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</si>
  <si>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</si>
  <si>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</si>
  <si>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</si>
  <si>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</si>
  <si>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</si>
  <si>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</si>
  <si>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</si>
  <si>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</si>
  <si>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</si>
  <si>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</si>
  <si>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</si>
  <si>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</si>
  <si>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</si>
  <si>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</si>
  <si>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</si>
  <si>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</si>
  <si>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</si>
  <si>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</si>
  <si>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</si>
  <si>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</si>
  <si>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</si>
  <si>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</si>
  <si>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</si>
  <si>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</si>
  <si>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</si>
  <si>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</si>
  <si>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</si>
  <si>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</si>
  <si>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</si>
  <si>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</si>
  <si>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</si>
  <si>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</si>
  <si>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</si>
  <si>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</si>
  <si>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</si>
  <si>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</si>
  <si>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</si>
  <si>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</si>
  <si>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</si>
  <si>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</si>
  <si>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</si>
  <si>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</si>
  <si>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</si>
  <si>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</si>
  <si>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</si>
  <si>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</si>
  <si>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</si>
  <si>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</si>
  <si>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</si>
  <si>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</si>
  <si>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</si>
  <si>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</si>
  <si>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</si>
  <si>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</si>
  <si>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</si>
  <si>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</si>
  <si>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</si>
  <si>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</si>
  <si>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</si>
  <si>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</si>
  <si>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</si>
  <si>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</si>
  <si>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</si>
  <si>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</si>
  <si>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</si>
  <si>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</si>
  <si>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</si>
  <si>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</si>
  <si>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</si>
  <si>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</si>
  <si>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</si>
  <si>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</si>
  <si>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</si>
  <si>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</si>
  <si>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</si>
  <si>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</si>
  <si>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</si>
  <si>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</si>
  <si>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</si>
  <si>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</si>
  <si>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</si>
  <si>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</si>
  <si>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</si>
  <si>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</si>
  <si>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</si>
  <si>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</si>
  <si>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</si>
  <si>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</si>
  <si>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</si>
  <si>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</si>
  <si>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</si>
  <si>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</si>
  <si>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</si>
  <si>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</si>
  <si>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</si>
  <si>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</si>
  <si>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</si>
  <si>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</si>
  <si>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</si>
  <si>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</si>
  <si>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</si>
  <si>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</si>
  <si>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</si>
  <si>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</si>
  <si>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</si>
  <si>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</si>
  <si>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</si>
  <si>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</si>
  <si>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</si>
  <si>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</si>
  <si>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</si>
  <si>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</si>
  <si>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</si>
  <si>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</si>
  <si>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</si>
  <si>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</si>
  <si>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</si>
  <si>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</si>
  <si>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</si>
  <si>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</si>
  <si>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</si>
  <si>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</si>
  <si>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</si>
  <si>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</si>
  <si>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</si>
  <si>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</si>
  <si>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</si>
  <si>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</si>
  <si>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</si>
  <si>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</si>
  <si>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</si>
  <si>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</si>
  <si>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</si>
  <si>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</si>
  <si>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</si>
  <si>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</si>
  <si>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</si>
  <si>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</si>
  <si>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</si>
  <si>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</si>
  <si>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</si>
  <si>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</si>
  <si>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</si>
  <si>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</si>
  <si>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</si>
  <si>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</si>
  <si>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</si>
  <si>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</si>
  <si>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</si>
  <si>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</si>
  <si>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</si>
  <si>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</si>
  <si>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</si>
  <si>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</si>
  <si>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</si>
  <si>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</si>
  <si>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</si>
  <si>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</si>
  <si>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</si>
  <si>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</si>
  <si>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</si>
  <si>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</si>
  <si>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</si>
  <si>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</si>
  <si>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</si>
  <si>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</si>
  <si>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</si>
  <si>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</si>
  <si>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</si>
  <si>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</si>
  <si>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</si>
  <si>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</si>
  <si>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</si>
  <si>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</si>
  <si>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</si>
  <si>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</si>
  <si>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</si>
  <si>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</si>
  <si>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</si>
  <si>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</si>
  <si>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</si>
  <si>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</si>
  <si>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</si>
  <si>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</si>
  <si>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</si>
  <si>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</si>
  <si>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</si>
  <si>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</si>
  <si>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</si>
  <si>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</si>
  <si>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</si>
  <si>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</si>
  <si>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</si>
  <si>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</si>
  <si>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</si>
  <si>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</si>
  <si>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</si>
  <si>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</si>
  <si>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</si>
  <si>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</si>
  <si>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</si>
  <si>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</si>
  <si>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03298744</t>
  </si>
  <si>
    <t>HR</t>
  </si>
  <si>
    <t>080037012</t>
  </si>
  <si>
    <t>24640993045</t>
  </si>
  <si>
    <t>74780000B0QHXQ0LQw20</t>
  </si>
  <si>
    <t>637</t>
  </si>
  <si>
    <t>CROATIA AIRLINES d.d.</t>
  </si>
  <si>
    <t>ZAGREB</t>
  </si>
  <si>
    <t>BANI 75 b</t>
  </si>
  <si>
    <t>uprava@croatiaairlines.hr</t>
  </si>
  <si>
    <t>www.croatiaairlines.hr</t>
  </si>
  <si>
    <t>DIJANA JANUŠIĆ</t>
  </si>
  <si>
    <t>01/6160049</t>
  </si>
  <si>
    <t>dijana.janusic@croatiaairlines.hr</t>
  </si>
  <si>
    <t>AMADEUS CROATIA d.d.</t>
  </si>
  <si>
    <t>OBZOR PUTOVANJA d.o.o</t>
  </si>
  <si>
    <t>Zagreb, Teslina ulica 5</t>
  </si>
  <si>
    <t>BDO CROATIA d.o.o</t>
  </si>
  <si>
    <t>VEDRANA STIPIĆ</t>
  </si>
  <si>
    <t>Obveznik:  CROATIA AIRLINES GRUPA</t>
  </si>
  <si>
    <t>Obveznik: CROATIA AIRLINES GRUPA</t>
  </si>
  <si>
    <t>Zagreb, Božidara Adžije 19</t>
  </si>
  <si>
    <t>u razdoblju 1.1.2025. do 30.6.2025.</t>
  </si>
  <si>
    <t>stanje na dan 30.6.2025.</t>
  </si>
  <si>
    <t>BILJEŠKE UZ FINANCIJSKE IZVJEŠTAJE - TFI
(koji se sastavljaju za tromjesečna razdoblja)
Naziv izdavatelja:  CROATIA AIRLINES d.d.
OIB:   24640993045
Izvještajno razdoblje: 1.1.2025.-30.6.2025.
Croatia Airlines u 2025. godini nastavlja s  obnovom cjelokupne flote novim i tehnološki naprednijim zrakoplovima Airbus A220 u tržišnom segmentu od 100 do 150 sjedala. Krajem lipnja 2025. godine u floti Croatia Airlinesa bilo je pet novih zrakoplova A220, a u nadolazećem razdoblju do kraja godine Croatia Airlines očekuje isporuku još dva nova zrakoplova Airbus A220. 
Ljetnim redom letenja Croatia Airlines dodatno je proširio mrežu međunarodnih odredišta uvođenjem novih međunarodnih linija iz Zagreba za Milano, Prag, Bukurešt, Madrid i Hamburg, a povećane su i frekvencije na postojećim linijama, kako iz Zagreba, tako i iz Splita i Dubrovnika. 
Poslovanje Croatia Airlinesa u prvom polugodištu 2025. godine obilježeno je nastavkom investicijskog ciklusa zamjene flote zrakoplova, uz izražene operativne i financijske izazove karakteristične za tranzicijsko razdoblje. Na kraju promatranog razdoblja ostvaren je operativni gubitak u visini od 21,2 milijuna EUR koji s neto rezultatom financiranja daje neto gubitak od 18 milijuna EUR. 
Glavni uzrok negativnog rezultata je rast operativnih troškova povezanih s procesom tranzicije flote, pri čemu je važno naglasiti kako su financijske implikacije tranzicijskog razdoblja zamjene flote znatno veće od ranijih predviđanja.
Ukupni prihodi koji uključuju i financijske prihode veći su za 8 posto u odnosu na prvo polugodište 2024. godine, dok su ukupni poslovni prihodi manji za 4 posto u odnosu na isto razdoblje prethodne godine. Na smanjenje prihoda utjecala je agresivna cjenovna aktivnost konkurencije u uvjetima pada cijene goriva, a dijelom i tečaja USD za dio prihoda koji se ostvaruju u američkoj valuti.
Promatrajući financijske rezultate po kvartalima, neto gubitak u prvom kvartalu 2025. iznosio je 15,9 milijuna EUR, dok je u drugom kvartalu 2025. zabilježeno značajno poboljšanje, s neto gubitkom od 2,1 milijun EUR. S aspekta operativne učinkovitosti, u prvom kvartalu 2025. ostvaren je negativan EBITDA rezultat od 5,7 milijuna EUR, dok je u drugom kvartalu zabilježen pozitivan EBITDA od 8,2 milijuna EUR što upućuje na značajan oporavak u odnosu na prvi kvartal, ali i rast EBITDA od 22 posto u usporedbi s drugim kvartalom 2024. godine.
Projekt zamjene flote, najveći u povijesti Croatia Airlinesa od njegova osnutka, predstavlja temelj za dugoročni održivi razvoj kompanije. Nova flota donosi brojne prednosti, uključujući pojednostavljenje operativnih procesa, povećanje financijske učinkovitosti te osiguranje ekološke održivosti, uz smanjenje potrošnje goriva i emisija CO2, što je posebno značajno u kontekstu globalnih trendova dekarbonizacije industrije zračnog prijevoza.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</si>
</sst>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1" defaultTableStyle="TableStyleMedium2" defaultPivotStyle="PivotStyleLight16">
    <tableStyle name="Invisible" pivot="0" table="0" count="0" xr9:uid="{B0DBC6E6-66C2-49C2-8A21-91E2A0FF6C7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O20" sqref="O20"/>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45658</v>
      </c>
      <c r="F4" s="133"/>
      <c r="G4" s="86" t="s">
        <v>0</v>
      </c>
      <c r="H4" s="132">
        <v>45838</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330</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2</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332</v>
      </c>
      <c r="B10" s="145"/>
      <c r="C10" s="145"/>
      <c r="D10" s="145"/>
      <c r="E10" s="145"/>
      <c r="F10" s="145"/>
      <c r="G10" s="145"/>
      <c r="H10" s="145"/>
      <c r="I10" s="145"/>
      <c r="J10" s="95"/>
    </row>
    <row r="11" spans="1:20" ht="24.6" customHeight="1" x14ac:dyDescent="0.25">
      <c r="A11" s="146" t="s">
        <v>309</v>
      </c>
      <c r="B11" s="147"/>
      <c r="C11" s="139" t="s">
        <v>449</v>
      </c>
      <c r="D11" s="140"/>
      <c r="E11" s="96"/>
      <c r="F11" s="148" t="s">
        <v>333</v>
      </c>
      <c r="G11" s="138"/>
      <c r="H11" s="149" t="s">
        <v>450</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451</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452</v>
      </c>
      <c r="D15" s="140"/>
      <c r="E15" s="157"/>
      <c r="F15" s="158"/>
      <c r="G15" s="101" t="s">
        <v>334</v>
      </c>
      <c r="H15" s="149" t="s">
        <v>453</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335</v>
      </c>
      <c r="C17" s="139" t="s">
        <v>454</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455</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10010</v>
      </c>
      <c r="D21" s="150"/>
      <c r="E21" s="143"/>
      <c r="F21" s="143"/>
      <c r="G21" s="154" t="s">
        <v>456</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457</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458</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459</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f>1008+6+19</f>
        <v>1033</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338</v>
      </c>
      <c r="D31" s="163" t="s">
        <v>336</v>
      </c>
      <c r="E31" s="164"/>
      <c r="F31" s="164"/>
      <c r="G31" s="164"/>
      <c r="H31" s="77"/>
      <c r="I31" s="109" t="s">
        <v>337</v>
      </c>
      <c r="J31" s="110" t="s">
        <v>338</v>
      </c>
    </row>
    <row r="32" spans="1:10" x14ac:dyDescent="0.25">
      <c r="A32" s="146"/>
      <c r="B32" s="153"/>
      <c r="C32" s="111"/>
      <c r="D32" s="86"/>
      <c r="E32" s="158"/>
      <c r="F32" s="158"/>
      <c r="G32" s="158"/>
      <c r="H32" s="158"/>
      <c r="I32" s="107"/>
      <c r="J32" s="108"/>
    </row>
    <row r="33" spans="1:10" x14ac:dyDescent="0.25">
      <c r="A33" s="146" t="s">
        <v>326</v>
      </c>
      <c r="B33" s="153"/>
      <c r="C33" s="44" t="s">
        <v>340</v>
      </c>
      <c r="D33" s="163" t="s">
        <v>339</v>
      </c>
      <c r="E33" s="164"/>
      <c r="F33" s="164"/>
      <c r="G33" s="164"/>
      <c r="H33" s="104"/>
      <c r="I33" s="109" t="s">
        <v>340</v>
      </c>
      <c r="J33" s="110" t="s">
        <v>341</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t="s">
        <v>463</v>
      </c>
      <c r="B37" s="166"/>
      <c r="C37" s="166"/>
      <c r="D37" s="166"/>
      <c r="E37" s="165" t="s">
        <v>470</v>
      </c>
      <c r="F37" s="166"/>
      <c r="G37" s="166"/>
      <c r="H37" s="166"/>
      <c r="I37" s="167"/>
      <c r="J37" s="76">
        <v>48576</v>
      </c>
    </row>
    <row r="38" spans="1:10" x14ac:dyDescent="0.25">
      <c r="A38" s="98"/>
      <c r="B38" s="77"/>
      <c r="C38" s="105"/>
      <c r="D38" s="168"/>
      <c r="E38" s="168"/>
      <c r="F38" s="168"/>
      <c r="G38" s="168"/>
      <c r="H38" s="168"/>
      <c r="I38" s="168"/>
      <c r="J38" s="100"/>
    </row>
    <row r="39" spans="1:10" x14ac:dyDescent="0.25">
      <c r="A39" s="165" t="s">
        <v>464</v>
      </c>
      <c r="B39" s="166"/>
      <c r="C39" s="166"/>
      <c r="D39" s="167"/>
      <c r="E39" s="165" t="s">
        <v>465</v>
      </c>
      <c r="F39" s="166"/>
      <c r="G39" s="166"/>
      <c r="H39" s="166"/>
      <c r="I39" s="167"/>
      <c r="J39" s="44">
        <v>490555</v>
      </c>
    </row>
    <row r="40" spans="1:10" x14ac:dyDescent="0.25">
      <c r="A40" s="98"/>
      <c r="B40" s="77"/>
      <c r="C40" s="105"/>
      <c r="D40" s="113"/>
      <c r="E40" s="168"/>
      <c r="F40" s="168"/>
      <c r="G40" s="168"/>
      <c r="H40" s="168"/>
      <c r="I40" s="99"/>
      <c r="J40" s="100"/>
    </row>
    <row r="41" spans="1:10" x14ac:dyDescent="0.25">
      <c r="A41" s="165"/>
      <c r="B41" s="166"/>
      <c r="C41" s="166"/>
      <c r="D41" s="167"/>
      <c r="E41" s="165"/>
      <c r="F41" s="166"/>
      <c r="G41" s="166"/>
      <c r="H41" s="166"/>
      <c r="I41" s="167"/>
      <c r="J41" s="44"/>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342</v>
      </c>
    </row>
    <row r="49" spans="1:10" x14ac:dyDescent="0.25">
      <c r="A49" s="114"/>
      <c r="B49" s="105"/>
      <c r="C49" s="105"/>
      <c r="D49" s="77"/>
      <c r="E49" s="143"/>
      <c r="F49" s="143"/>
      <c r="G49" s="169"/>
      <c r="H49" s="169"/>
      <c r="I49" s="77"/>
      <c r="J49" s="115" t="s">
        <v>343</v>
      </c>
    </row>
    <row r="50" spans="1:10" ht="14.45" customHeight="1" x14ac:dyDescent="0.25">
      <c r="A50" s="137" t="s">
        <v>319</v>
      </c>
      <c r="B50" s="148"/>
      <c r="C50" s="149" t="s">
        <v>343</v>
      </c>
      <c r="D50" s="150"/>
      <c r="E50" s="174" t="s">
        <v>344</v>
      </c>
      <c r="F50" s="175"/>
      <c r="G50" s="154"/>
      <c r="H50" s="155"/>
      <c r="I50" s="155"/>
      <c r="J50" s="156"/>
    </row>
    <row r="51" spans="1:10" x14ac:dyDescent="0.25">
      <c r="A51" s="114"/>
      <c r="B51" s="105"/>
      <c r="C51" s="169"/>
      <c r="D51" s="169"/>
      <c r="E51" s="143"/>
      <c r="F51" s="143"/>
      <c r="G51" s="176" t="s">
        <v>345</v>
      </c>
      <c r="H51" s="176"/>
      <c r="I51" s="176"/>
      <c r="J51" s="91"/>
    </row>
    <row r="52" spans="1:10" ht="13.9" customHeight="1" x14ac:dyDescent="0.25">
      <c r="A52" s="137" t="s">
        <v>320</v>
      </c>
      <c r="B52" s="148"/>
      <c r="C52" s="154" t="s">
        <v>460</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461</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462</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346</v>
      </c>
      <c r="B58" s="148"/>
      <c r="C58" s="177" t="s">
        <v>466</v>
      </c>
      <c r="D58" s="178"/>
      <c r="E58" s="178"/>
      <c r="F58" s="178"/>
      <c r="G58" s="178"/>
      <c r="H58" s="178"/>
      <c r="I58" s="178"/>
      <c r="J58" s="179"/>
    </row>
    <row r="59" spans="1:10" ht="14.45" customHeight="1" x14ac:dyDescent="0.25">
      <c r="A59" s="98"/>
      <c r="B59" s="77"/>
      <c r="C59" s="180" t="s">
        <v>347</v>
      </c>
      <c r="D59" s="180"/>
      <c r="E59" s="180"/>
      <c r="F59" s="180"/>
      <c r="G59" s="77"/>
      <c r="H59" s="77"/>
      <c r="I59" s="77"/>
      <c r="J59" s="100"/>
    </row>
    <row r="60" spans="1:10" x14ac:dyDescent="0.25">
      <c r="A60" s="137" t="s">
        <v>348</v>
      </c>
      <c r="B60" s="148"/>
      <c r="C60" s="177" t="s">
        <v>467</v>
      </c>
      <c r="D60" s="178"/>
      <c r="E60" s="178"/>
      <c r="F60" s="178"/>
      <c r="G60" s="178"/>
      <c r="H60" s="178"/>
      <c r="I60" s="178"/>
      <c r="J60" s="179"/>
    </row>
    <row r="61" spans="1:10" ht="14.45" customHeight="1" x14ac:dyDescent="0.25">
      <c r="A61" s="116"/>
      <c r="B61" s="117"/>
      <c r="C61" s="181" t="s">
        <v>349</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10" workbookViewId="0">
      <selection activeCell="I131" sqref="I131"/>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t="s">
        <v>472</v>
      </c>
      <c r="B2" s="188"/>
      <c r="C2" s="188"/>
      <c r="D2" s="188"/>
      <c r="E2" s="188"/>
      <c r="F2" s="188"/>
      <c r="G2" s="188"/>
      <c r="H2" s="188"/>
      <c r="I2" s="188"/>
    </row>
    <row r="3" spans="1:9" x14ac:dyDescent="0.2">
      <c r="A3" s="189" t="s">
        <v>448</v>
      </c>
      <c r="B3" s="189"/>
      <c r="C3" s="189"/>
      <c r="D3" s="189"/>
      <c r="E3" s="189"/>
      <c r="F3" s="189"/>
      <c r="G3" s="189"/>
      <c r="H3" s="189"/>
      <c r="I3" s="189"/>
    </row>
    <row r="4" spans="1:9" x14ac:dyDescent="0.2">
      <c r="A4" s="190" t="s">
        <v>469</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193143906</v>
      </c>
      <c r="I9" s="120">
        <f>I10+I17+I27+I38+I43</f>
        <v>278821858</v>
      </c>
    </row>
    <row r="10" spans="1:9" ht="12.75" customHeight="1" x14ac:dyDescent="0.2">
      <c r="A10" s="183" t="s">
        <v>5</v>
      </c>
      <c r="B10" s="183"/>
      <c r="C10" s="183"/>
      <c r="D10" s="183"/>
      <c r="E10" s="183"/>
      <c r="F10" s="183"/>
      <c r="G10" s="12">
        <v>3</v>
      </c>
      <c r="H10" s="120">
        <f>H11+H12+H13+H14+H15+H16</f>
        <v>6402214</v>
      </c>
      <c r="I10" s="120">
        <f>I11+I12+I13+I14+I15+I16</f>
        <v>8086057</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453834</v>
      </c>
      <c r="I12" s="18">
        <v>360649</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747990</v>
      </c>
      <c r="I15" s="18">
        <v>981371</v>
      </c>
    </row>
    <row r="16" spans="1:9" ht="12.75" customHeight="1" x14ac:dyDescent="0.2">
      <c r="A16" s="182" t="s">
        <v>11</v>
      </c>
      <c r="B16" s="182"/>
      <c r="C16" s="182"/>
      <c r="D16" s="182"/>
      <c r="E16" s="182"/>
      <c r="F16" s="182"/>
      <c r="G16" s="11">
        <v>9</v>
      </c>
      <c r="H16" s="18">
        <f>291872+4908518</f>
        <v>5200390</v>
      </c>
      <c r="I16" s="18">
        <v>6744037</v>
      </c>
    </row>
    <row r="17" spans="1:9" ht="12.75" customHeight="1" x14ac:dyDescent="0.2">
      <c r="A17" s="183" t="s">
        <v>12</v>
      </c>
      <c r="B17" s="183"/>
      <c r="C17" s="183"/>
      <c r="D17" s="183"/>
      <c r="E17" s="183"/>
      <c r="F17" s="183"/>
      <c r="G17" s="12">
        <v>10</v>
      </c>
      <c r="H17" s="120">
        <f>H18+H19+H20+H21+H22+H23+H24+H25+H26</f>
        <v>120534568</v>
      </c>
      <c r="I17" s="120">
        <f>I18+I19+I20+I21+I22+I23+I24+I25+I26</f>
        <v>205345194</v>
      </c>
    </row>
    <row r="18" spans="1:9" ht="12.75" customHeight="1" x14ac:dyDescent="0.2">
      <c r="A18" s="182" t="s">
        <v>13</v>
      </c>
      <c r="B18" s="182"/>
      <c r="C18" s="182"/>
      <c r="D18" s="182"/>
      <c r="E18" s="182"/>
      <c r="F18" s="182"/>
      <c r="G18" s="11">
        <v>11</v>
      </c>
      <c r="H18" s="18">
        <v>2621659</v>
      </c>
      <c r="I18" s="18">
        <v>2621659</v>
      </c>
    </row>
    <row r="19" spans="1:9" ht="12.75" customHeight="1" x14ac:dyDescent="0.2">
      <c r="A19" s="182" t="s">
        <v>14</v>
      </c>
      <c r="B19" s="182"/>
      <c r="C19" s="182"/>
      <c r="D19" s="182"/>
      <c r="E19" s="182"/>
      <c r="F19" s="182"/>
      <c r="G19" s="11">
        <v>12</v>
      </c>
      <c r="H19" s="18">
        <v>4103327</v>
      </c>
      <c r="I19" s="18">
        <v>3870661</v>
      </c>
    </row>
    <row r="20" spans="1:9" ht="12.75" customHeight="1" x14ac:dyDescent="0.2">
      <c r="A20" s="182" t="s">
        <v>15</v>
      </c>
      <c r="B20" s="182"/>
      <c r="C20" s="182"/>
      <c r="D20" s="182"/>
      <c r="E20" s="182"/>
      <c r="F20" s="182"/>
      <c r="G20" s="11">
        <v>13</v>
      </c>
      <c r="H20" s="18">
        <v>30615511</v>
      </c>
      <c r="I20" s="18">
        <v>43995922</v>
      </c>
    </row>
    <row r="21" spans="1:9" ht="12.75" customHeight="1" x14ac:dyDescent="0.2">
      <c r="A21" s="182" t="s">
        <v>16</v>
      </c>
      <c r="B21" s="182"/>
      <c r="C21" s="182"/>
      <c r="D21" s="182"/>
      <c r="E21" s="182"/>
      <c r="F21" s="182"/>
      <c r="G21" s="11">
        <v>14</v>
      </c>
      <c r="H21" s="18">
        <v>81869088</v>
      </c>
      <c r="I21" s="18">
        <v>154512086</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994610</v>
      </c>
      <c r="I23" s="18">
        <v>0</v>
      </c>
    </row>
    <row r="24" spans="1:9" ht="12.75" customHeight="1" x14ac:dyDescent="0.2">
      <c r="A24" s="182" t="s">
        <v>19</v>
      </c>
      <c r="B24" s="182"/>
      <c r="C24" s="182"/>
      <c r="D24" s="182"/>
      <c r="E24" s="182"/>
      <c r="F24" s="182"/>
      <c r="G24" s="11">
        <v>17</v>
      </c>
      <c r="H24" s="18">
        <v>0</v>
      </c>
      <c r="I24" s="18">
        <v>0</v>
      </c>
    </row>
    <row r="25" spans="1:9" ht="12.75" customHeight="1" x14ac:dyDescent="0.2">
      <c r="A25" s="182" t="s">
        <v>20</v>
      </c>
      <c r="B25" s="182"/>
      <c r="C25" s="182"/>
      <c r="D25" s="182"/>
      <c r="E25" s="182"/>
      <c r="F25" s="182"/>
      <c r="G25" s="11">
        <v>18</v>
      </c>
      <c r="H25" s="18">
        <v>330373</v>
      </c>
      <c r="I25" s="18">
        <v>344866</v>
      </c>
    </row>
    <row r="26" spans="1:9" ht="12.75" customHeight="1" x14ac:dyDescent="0.2">
      <c r="A26" s="182" t="s">
        <v>21</v>
      </c>
      <c r="B26" s="182"/>
      <c r="C26" s="182"/>
      <c r="D26" s="182"/>
      <c r="E26" s="182"/>
      <c r="F26" s="182"/>
      <c r="G26" s="11">
        <v>19</v>
      </c>
      <c r="H26" s="18">
        <v>0</v>
      </c>
      <c r="I26" s="18">
        <v>0</v>
      </c>
    </row>
    <row r="27" spans="1:9" ht="12.75" customHeight="1" x14ac:dyDescent="0.2">
      <c r="A27" s="183" t="s">
        <v>22</v>
      </c>
      <c r="B27" s="183"/>
      <c r="C27" s="183"/>
      <c r="D27" s="183"/>
      <c r="E27" s="183"/>
      <c r="F27" s="183"/>
      <c r="G27" s="12">
        <v>20</v>
      </c>
      <c r="H27" s="120">
        <f>SUM(H28:H37)</f>
        <v>13499615</v>
      </c>
      <c r="I27" s="120">
        <f>SUM(I28:I37)</f>
        <v>13151584</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25000</v>
      </c>
      <c r="I34" s="18">
        <v>25000</v>
      </c>
    </row>
    <row r="35" spans="1:9" ht="12.75" customHeight="1" x14ac:dyDescent="0.2">
      <c r="A35" s="182" t="s">
        <v>30</v>
      </c>
      <c r="B35" s="182"/>
      <c r="C35" s="182"/>
      <c r="D35" s="182"/>
      <c r="E35" s="182"/>
      <c r="F35" s="182"/>
      <c r="G35" s="11">
        <v>28</v>
      </c>
      <c r="H35" s="18">
        <v>13474615</v>
      </c>
      <c r="I35" s="18">
        <v>13126584</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52707509</v>
      </c>
      <c r="I38" s="120">
        <f>I39+I40+I41+I42</f>
        <v>52239023</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52707509</v>
      </c>
      <c r="I42" s="18">
        <v>52239023</v>
      </c>
    </row>
    <row r="43" spans="1:9" ht="12.75" customHeight="1" x14ac:dyDescent="0.2">
      <c r="A43" s="182" t="s">
        <v>38</v>
      </c>
      <c r="B43" s="182"/>
      <c r="C43" s="182"/>
      <c r="D43" s="182"/>
      <c r="E43" s="182"/>
      <c r="F43" s="182"/>
      <c r="G43" s="11">
        <v>36</v>
      </c>
      <c r="H43" s="18">
        <v>0</v>
      </c>
      <c r="I43" s="18">
        <v>0</v>
      </c>
    </row>
    <row r="44" spans="1:9" ht="12.75" customHeight="1" x14ac:dyDescent="0.2">
      <c r="A44" s="184" t="s">
        <v>303</v>
      </c>
      <c r="B44" s="184"/>
      <c r="C44" s="184"/>
      <c r="D44" s="184"/>
      <c r="E44" s="184"/>
      <c r="F44" s="184"/>
      <c r="G44" s="12">
        <v>37</v>
      </c>
      <c r="H44" s="120">
        <f>H45+H53+H60+H70</f>
        <v>78297213</v>
      </c>
      <c r="I44" s="120">
        <f>I45+I53+I60+I70</f>
        <v>77772378</v>
      </c>
    </row>
    <row r="45" spans="1:9" ht="12.75" customHeight="1" x14ac:dyDescent="0.2">
      <c r="A45" s="183" t="s">
        <v>39</v>
      </c>
      <c r="B45" s="183"/>
      <c r="C45" s="183"/>
      <c r="D45" s="183"/>
      <c r="E45" s="183"/>
      <c r="F45" s="183"/>
      <c r="G45" s="12">
        <v>38</v>
      </c>
      <c r="H45" s="120">
        <f>SUM(H46:H52)</f>
        <v>11618566</v>
      </c>
      <c r="I45" s="120">
        <f>SUM(I46:I52)</f>
        <v>11940654</v>
      </c>
    </row>
    <row r="46" spans="1:9" ht="12.75" customHeight="1" x14ac:dyDescent="0.2">
      <c r="A46" s="182" t="s">
        <v>40</v>
      </c>
      <c r="B46" s="182"/>
      <c r="C46" s="182"/>
      <c r="D46" s="182"/>
      <c r="E46" s="182"/>
      <c r="F46" s="182"/>
      <c r="G46" s="11">
        <v>39</v>
      </c>
      <c r="H46" s="18">
        <v>11618566</v>
      </c>
      <c r="I46" s="18">
        <f>11940653+1</f>
        <v>11940654</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19931797</v>
      </c>
      <c r="I53" s="120">
        <f>SUM(I54:I59)</f>
        <v>32441631</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14082764</v>
      </c>
      <c r="I56" s="18">
        <v>27438954</v>
      </c>
    </row>
    <row r="57" spans="1:9" ht="12.75" customHeight="1" x14ac:dyDescent="0.2">
      <c r="A57" s="182" t="s">
        <v>51</v>
      </c>
      <c r="B57" s="182"/>
      <c r="C57" s="182"/>
      <c r="D57" s="182"/>
      <c r="E57" s="182"/>
      <c r="F57" s="182"/>
      <c r="G57" s="11">
        <v>50</v>
      </c>
      <c r="H57" s="18">
        <v>25515</v>
      </c>
      <c r="I57" s="18">
        <v>63273</v>
      </c>
    </row>
    <row r="58" spans="1:9" ht="12.75" customHeight="1" x14ac:dyDescent="0.2">
      <c r="A58" s="182" t="s">
        <v>52</v>
      </c>
      <c r="B58" s="182"/>
      <c r="C58" s="182"/>
      <c r="D58" s="182"/>
      <c r="E58" s="182"/>
      <c r="F58" s="182"/>
      <c r="G58" s="11">
        <v>51</v>
      </c>
      <c r="H58" s="18">
        <v>4088830</v>
      </c>
      <c r="I58" s="18">
        <v>1871050</v>
      </c>
    </row>
    <row r="59" spans="1:9" ht="12.75" customHeight="1" x14ac:dyDescent="0.2">
      <c r="A59" s="182" t="s">
        <v>53</v>
      </c>
      <c r="B59" s="182"/>
      <c r="C59" s="182"/>
      <c r="D59" s="182"/>
      <c r="E59" s="182"/>
      <c r="F59" s="182"/>
      <c r="G59" s="11">
        <v>52</v>
      </c>
      <c r="H59" s="18">
        <v>1734688</v>
      </c>
      <c r="I59" s="18">
        <v>3068354</v>
      </c>
    </row>
    <row r="60" spans="1:9" ht="12.75" customHeight="1" x14ac:dyDescent="0.2">
      <c r="A60" s="183" t="s">
        <v>54</v>
      </c>
      <c r="B60" s="183"/>
      <c r="C60" s="183"/>
      <c r="D60" s="183"/>
      <c r="E60" s="183"/>
      <c r="F60" s="183"/>
      <c r="G60" s="12">
        <v>53</v>
      </c>
      <c r="H60" s="120">
        <f>SUM(H61:H69)</f>
        <v>1108803</v>
      </c>
      <c r="I60" s="120">
        <f>SUM(I61:I69)</f>
        <v>3307370</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25</v>
      </c>
      <c r="I67" s="18">
        <v>25</v>
      </c>
    </row>
    <row r="68" spans="1:9" ht="12.75" customHeight="1" x14ac:dyDescent="0.2">
      <c r="A68" s="182" t="s">
        <v>30</v>
      </c>
      <c r="B68" s="182"/>
      <c r="C68" s="182"/>
      <c r="D68" s="182"/>
      <c r="E68" s="182"/>
      <c r="F68" s="182"/>
      <c r="G68" s="11">
        <v>61</v>
      </c>
      <c r="H68" s="18">
        <v>1108778</v>
      </c>
      <c r="I68" s="18">
        <f>3299245+8100</f>
        <v>3307345</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45638047</v>
      </c>
      <c r="I70" s="18">
        <v>30082723</v>
      </c>
    </row>
    <row r="71" spans="1:9" ht="12.75" customHeight="1" x14ac:dyDescent="0.2">
      <c r="A71" s="198" t="s">
        <v>58</v>
      </c>
      <c r="B71" s="198"/>
      <c r="C71" s="198"/>
      <c r="D71" s="198"/>
      <c r="E71" s="198"/>
      <c r="F71" s="198"/>
      <c r="G71" s="11">
        <v>64</v>
      </c>
      <c r="H71" s="18">
        <v>2860249</v>
      </c>
      <c r="I71" s="18">
        <f>5433897-1</f>
        <v>5433896</v>
      </c>
    </row>
    <row r="72" spans="1:9" ht="12.75" customHeight="1" x14ac:dyDescent="0.2">
      <c r="A72" s="184" t="s">
        <v>304</v>
      </c>
      <c r="B72" s="184"/>
      <c r="C72" s="184"/>
      <c r="D72" s="184"/>
      <c r="E72" s="184"/>
      <c r="F72" s="184"/>
      <c r="G72" s="12">
        <v>65</v>
      </c>
      <c r="H72" s="120">
        <f>H8+H9+H44+H71</f>
        <v>274301368</v>
      </c>
      <c r="I72" s="120">
        <f>I8+I9+I44+I71</f>
        <v>362028132</v>
      </c>
    </row>
    <row r="73" spans="1:9" ht="12.75" customHeight="1" x14ac:dyDescent="0.2">
      <c r="A73" s="198" t="s">
        <v>59</v>
      </c>
      <c r="B73" s="198"/>
      <c r="C73" s="198"/>
      <c r="D73" s="198"/>
      <c r="E73" s="198"/>
      <c r="F73" s="198"/>
      <c r="G73" s="11">
        <v>66</v>
      </c>
      <c r="H73" s="18">
        <v>0</v>
      </c>
      <c r="I73" s="18">
        <v>0</v>
      </c>
    </row>
    <row r="74" spans="1:9" x14ac:dyDescent="0.2">
      <c r="A74" s="200" t="s">
        <v>60</v>
      </c>
      <c r="B74" s="201"/>
      <c r="C74" s="201"/>
      <c r="D74" s="201"/>
      <c r="E74" s="201"/>
      <c r="F74" s="201"/>
      <c r="G74" s="201"/>
      <c r="H74" s="201"/>
      <c r="I74" s="201"/>
    </row>
    <row r="75" spans="1:9" ht="12.75" customHeight="1" x14ac:dyDescent="0.2">
      <c r="A75" s="184" t="s">
        <v>354</v>
      </c>
      <c r="B75" s="184"/>
      <c r="C75" s="184"/>
      <c r="D75" s="184"/>
      <c r="E75" s="184"/>
      <c r="F75" s="184"/>
      <c r="G75" s="12">
        <v>67</v>
      </c>
      <c r="H75" s="121">
        <f>H76+H77+H78+H84+H85+H91+H94+H97</f>
        <v>2315793</v>
      </c>
      <c r="I75" s="121">
        <f>I76+I77+I78+I84+I85+I91+I94+I97</f>
        <v>-14883188</v>
      </c>
    </row>
    <row r="76" spans="1:9" ht="12.75" customHeight="1" x14ac:dyDescent="0.2">
      <c r="A76" s="182" t="s">
        <v>61</v>
      </c>
      <c r="B76" s="182"/>
      <c r="C76" s="182"/>
      <c r="D76" s="182"/>
      <c r="E76" s="182"/>
      <c r="F76" s="182"/>
      <c r="G76" s="11">
        <v>68</v>
      </c>
      <c r="H76" s="18">
        <v>92387953</v>
      </c>
      <c r="I76" s="18">
        <f>92387523+430</f>
        <v>92387953</v>
      </c>
    </row>
    <row r="77" spans="1:9" ht="12.75" customHeight="1" x14ac:dyDescent="0.2">
      <c r="A77" s="182" t="s">
        <v>62</v>
      </c>
      <c r="B77" s="182"/>
      <c r="C77" s="182"/>
      <c r="D77" s="182"/>
      <c r="E77" s="182"/>
      <c r="F77" s="182"/>
      <c r="G77" s="11">
        <v>69</v>
      </c>
      <c r="H77" s="18">
        <v>0</v>
      </c>
      <c r="I77" s="18">
        <v>0</v>
      </c>
    </row>
    <row r="78" spans="1:9" ht="12.75" customHeight="1" x14ac:dyDescent="0.2">
      <c r="A78" s="183" t="s">
        <v>63</v>
      </c>
      <c r="B78" s="183"/>
      <c r="C78" s="183"/>
      <c r="D78" s="183"/>
      <c r="E78" s="183"/>
      <c r="F78" s="183"/>
      <c r="G78" s="12">
        <v>70</v>
      </c>
      <c r="H78" s="121">
        <f>SUM(H79:H83)</f>
        <v>545705</v>
      </c>
      <c r="I78" s="121">
        <f>SUM(I79:I83)</f>
        <v>545705</v>
      </c>
    </row>
    <row r="79" spans="1:9" ht="12.75" customHeight="1" x14ac:dyDescent="0.2">
      <c r="A79" s="182" t="s">
        <v>64</v>
      </c>
      <c r="B79" s="182"/>
      <c r="C79" s="182"/>
      <c r="D79" s="182"/>
      <c r="E79" s="182"/>
      <c r="F79" s="182"/>
      <c r="G79" s="11">
        <v>71</v>
      </c>
      <c r="H79" s="18">
        <v>0</v>
      </c>
      <c r="I79" s="18">
        <v>0</v>
      </c>
    </row>
    <row r="80" spans="1:9" ht="12.75" customHeight="1" x14ac:dyDescent="0.2">
      <c r="A80" s="182" t="s">
        <v>65</v>
      </c>
      <c r="B80" s="182"/>
      <c r="C80" s="182"/>
      <c r="D80" s="182"/>
      <c r="E80" s="182"/>
      <c r="F80" s="182"/>
      <c r="G80" s="11">
        <v>72</v>
      </c>
      <c r="H80" s="18">
        <v>0</v>
      </c>
      <c r="I80" s="18">
        <v>0</v>
      </c>
    </row>
    <row r="81" spans="1:9" ht="12.75" customHeight="1" x14ac:dyDescent="0.2">
      <c r="A81" s="182" t="s">
        <v>66</v>
      </c>
      <c r="B81" s="182"/>
      <c r="C81" s="182"/>
      <c r="D81" s="182"/>
      <c r="E81" s="182"/>
      <c r="F81" s="182"/>
      <c r="G81" s="11">
        <v>73</v>
      </c>
      <c r="H81" s="18">
        <v>0</v>
      </c>
      <c r="I81" s="18">
        <v>0</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545705</v>
      </c>
      <c r="I83" s="18">
        <v>545705</v>
      </c>
    </row>
    <row r="84" spans="1:9" ht="12.75" customHeight="1" x14ac:dyDescent="0.2">
      <c r="A84" s="199" t="s">
        <v>69</v>
      </c>
      <c r="B84" s="199"/>
      <c r="C84" s="199"/>
      <c r="D84" s="199"/>
      <c r="E84" s="199"/>
      <c r="F84" s="199"/>
      <c r="G84" s="46">
        <v>76</v>
      </c>
      <c r="H84" s="47">
        <v>7016033</v>
      </c>
      <c r="I84" s="47">
        <v>7654287</v>
      </c>
    </row>
    <row r="85" spans="1:9" ht="12.75" customHeight="1" x14ac:dyDescent="0.2">
      <c r="A85" s="183" t="s">
        <v>446</v>
      </c>
      <c r="B85" s="183"/>
      <c r="C85" s="183"/>
      <c r="D85" s="183"/>
      <c r="E85" s="183"/>
      <c r="F85" s="183"/>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3" t="s">
        <v>352</v>
      </c>
      <c r="B91" s="183"/>
      <c r="C91" s="183"/>
      <c r="D91" s="183"/>
      <c r="E91" s="183"/>
      <c r="F91" s="183"/>
      <c r="G91" s="12">
        <v>83</v>
      </c>
      <c r="H91" s="120">
        <f>H92-H93</f>
        <v>-78239208</v>
      </c>
      <c r="I91" s="120">
        <f>I92-I93</f>
        <v>-97633751</v>
      </c>
    </row>
    <row r="92" spans="1:9" ht="12.75" customHeight="1" x14ac:dyDescent="0.2">
      <c r="A92" s="182" t="s">
        <v>72</v>
      </c>
      <c r="B92" s="182"/>
      <c r="C92" s="182"/>
      <c r="D92" s="182"/>
      <c r="E92" s="182"/>
      <c r="F92" s="182"/>
      <c r="G92" s="11">
        <v>84</v>
      </c>
      <c r="H92" s="18">
        <v>0</v>
      </c>
      <c r="I92" s="18">
        <v>0</v>
      </c>
    </row>
    <row r="93" spans="1:9" ht="12.75" customHeight="1" x14ac:dyDescent="0.2">
      <c r="A93" s="182" t="s">
        <v>73</v>
      </c>
      <c r="B93" s="182"/>
      <c r="C93" s="182"/>
      <c r="D93" s="182"/>
      <c r="E93" s="182"/>
      <c r="F93" s="182"/>
      <c r="G93" s="11">
        <v>85</v>
      </c>
      <c r="H93" s="18">
        <v>78239208</v>
      </c>
      <c r="I93" s="18">
        <f>97633751</f>
        <v>97633751</v>
      </c>
    </row>
    <row r="94" spans="1:9" ht="12.75" customHeight="1" x14ac:dyDescent="0.2">
      <c r="A94" s="183" t="s">
        <v>353</v>
      </c>
      <c r="B94" s="183"/>
      <c r="C94" s="183"/>
      <c r="D94" s="183"/>
      <c r="E94" s="183"/>
      <c r="F94" s="183"/>
      <c r="G94" s="12">
        <v>86</v>
      </c>
      <c r="H94" s="120">
        <f>H95-H96</f>
        <v>-19394690</v>
      </c>
      <c r="I94" s="120">
        <f>I95-I96</f>
        <v>-17837382</v>
      </c>
    </row>
    <row r="95" spans="1:9" ht="12.75" customHeight="1" x14ac:dyDescent="0.2">
      <c r="A95" s="182" t="s">
        <v>74</v>
      </c>
      <c r="B95" s="182"/>
      <c r="C95" s="182"/>
      <c r="D95" s="182"/>
      <c r="E95" s="182"/>
      <c r="F95" s="182"/>
      <c r="G95" s="11">
        <v>87</v>
      </c>
      <c r="H95" s="18">
        <v>0</v>
      </c>
      <c r="I95" s="18">
        <v>0</v>
      </c>
    </row>
    <row r="96" spans="1:9" ht="12.75" customHeight="1" x14ac:dyDescent="0.2">
      <c r="A96" s="182" t="s">
        <v>75</v>
      </c>
      <c r="B96" s="182"/>
      <c r="C96" s="182"/>
      <c r="D96" s="182"/>
      <c r="E96" s="182"/>
      <c r="F96" s="182"/>
      <c r="G96" s="11">
        <v>88</v>
      </c>
      <c r="H96" s="18">
        <v>19394690</v>
      </c>
      <c r="I96" s="18">
        <v>17837382</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51010773</v>
      </c>
      <c r="I98" s="120">
        <f>SUM(I99:I104)</f>
        <v>49430008</v>
      </c>
    </row>
    <row r="99" spans="1:9" ht="12.75" customHeight="1" x14ac:dyDescent="0.2">
      <c r="A99" s="182" t="s">
        <v>77</v>
      </c>
      <c r="B99" s="182"/>
      <c r="C99" s="182"/>
      <c r="D99" s="182"/>
      <c r="E99" s="182"/>
      <c r="F99" s="182"/>
      <c r="G99" s="11">
        <v>91</v>
      </c>
      <c r="H99" s="18">
        <v>328887</v>
      </c>
      <c r="I99" s="18">
        <v>328887</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1079637</v>
      </c>
      <c r="I101" s="18">
        <v>1079637</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49602249</v>
      </c>
      <c r="I104" s="18">
        <f>48021483+1</f>
        <v>48021484</v>
      </c>
    </row>
    <row r="105" spans="1:9" ht="12.75" customHeight="1" x14ac:dyDescent="0.2">
      <c r="A105" s="184" t="s">
        <v>356</v>
      </c>
      <c r="B105" s="184"/>
      <c r="C105" s="184"/>
      <c r="D105" s="184"/>
      <c r="E105" s="184"/>
      <c r="F105" s="184"/>
      <c r="G105" s="12">
        <v>97</v>
      </c>
      <c r="H105" s="120">
        <f>SUM(H106:H116)</f>
        <v>150333869</v>
      </c>
      <c r="I105" s="120">
        <f>SUM(I106:I116)</f>
        <v>216048328</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82592328</v>
      </c>
      <c r="I107" s="18">
        <v>85037320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7253</v>
      </c>
      <c r="I110" s="18">
        <v>7253</v>
      </c>
    </row>
    <row r="111" spans="1:9" ht="12.75" customHeight="1" x14ac:dyDescent="0.2">
      <c r="A111" s="182" t="s">
        <v>88</v>
      </c>
      <c r="B111" s="182"/>
      <c r="C111" s="182"/>
      <c r="D111" s="182"/>
      <c r="E111" s="182"/>
      <c r="F111" s="182"/>
      <c r="G111" s="11">
        <v>103</v>
      </c>
      <c r="H111" s="18">
        <v>64705319</v>
      </c>
      <c r="I111" s="18">
        <v>128085873</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1579344</v>
      </c>
      <c r="I115" s="18">
        <v>1329250</v>
      </c>
    </row>
    <row r="116" spans="1:9" ht="12.75" customHeight="1" x14ac:dyDescent="0.2">
      <c r="A116" s="182" t="s">
        <v>93</v>
      </c>
      <c r="B116" s="182"/>
      <c r="C116" s="182"/>
      <c r="D116" s="182"/>
      <c r="E116" s="182"/>
      <c r="F116" s="182"/>
      <c r="G116" s="11">
        <v>108</v>
      </c>
      <c r="H116" s="18">
        <v>1449625</v>
      </c>
      <c r="I116" s="18">
        <v>1588632</v>
      </c>
    </row>
    <row r="117" spans="1:9" ht="12.75" customHeight="1" x14ac:dyDescent="0.2">
      <c r="A117" s="184" t="s">
        <v>357</v>
      </c>
      <c r="B117" s="184"/>
      <c r="C117" s="184"/>
      <c r="D117" s="184"/>
      <c r="E117" s="184"/>
      <c r="F117" s="184"/>
      <c r="G117" s="12">
        <v>109</v>
      </c>
      <c r="H117" s="120">
        <f>SUM(H118:H131)</f>
        <v>59510384</v>
      </c>
      <c r="I117" s="120">
        <f>SUM(I118:I131)</f>
        <v>101756029</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1991738</v>
      </c>
      <c r="I122" s="18">
        <v>2395354</v>
      </c>
    </row>
    <row r="123" spans="1:9" ht="12.75" customHeight="1" x14ac:dyDescent="0.2">
      <c r="A123" s="182" t="s">
        <v>88</v>
      </c>
      <c r="B123" s="182"/>
      <c r="C123" s="182"/>
      <c r="D123" s="182"/>
      <c r="E123" s="182"/>
      <c r="F123" s="182"/>
      <c r="G123" s="11">
        <v>115</v>
      </c>
      <c r="H123" s="18">
        <v>17994488</v>
      </c>
      <c r="I123" s="18">
        <v>17243519</v>
      </c>
    </row>
    <row r="124" spans="1:9" ht="12.75" customHeight="1" x14ac:dyDescent="0.2">
      <c r="A124" s="182" t="s">
        <v>89</v>
      </c>
      <c r="B124" s="182"/>
      <c r="C124" s="182"/>
      <c r="D124" s="182"/>
      <c r="E124" s="182"/>
      <c r="F124" s="182"/>
      <c r="G124" s="11">
        <v>116</v>
      </c>
      <c r="H124" s="18">
        <v>353624</v>
      </c>
      <c r="I124" s="18">
        <v>540980</v>
      </c>
    </row>
    <row r="125" spans="1:9" ht="12.75" customHeight="1" x14ac:dyDescent="0.2">
      <c r="A125" s="182" t="s">
        <v>90</v>
      </c>
      <c r="B125" s="182"/>
      <c r="C125" s="182"/>
      <c r="D125" s="182"/>
      <c r="E125" s="182"/>
      <c r="F125" s="182"/>
      <c r="G125" s="11">
        <v>117</v>
      </c>
      <c r="H125" s="18">
        <v>15295325</v>
      </c>
      <c r="I125" s="18">
        <v>28109650</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2299457</v>
      </c>
      <c r="I127" s="18">
        <v>2641009</v>
      </c>
    </row>
    <row r="128" spans="1:9" x14ac:dyDescent="0.2">
      <c r="A128" s="182" t="s">
        <v>95</v>
      </c>
      <c r="B128" s="182"/>
      <c r="C128" s="182"/>
      <c r="D128" s="182"/>
      <c r="E128" s="182"/>
      <c r="F128" s="182"/>
      <c r="G128" s="11">
        <v>120</v>
      </c>
      <c r="H128" s="18">
        <v>2026396</v>
      </c>
      <c r="I128" s="18">
        <v>2405471</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19549356</v>
      </c>
      <c r="I131" s="18">
        <f>48420047-1</f>
        <v>48420046</v>
      </c>
    </row>
    <row r="132" spans="1:9" ht="22.15" customHeight="1" x14ac:dyDescent="0.2">
      <c r="A132" s="198" t="s">
        <v>99</v>
      </c>
      <c r="B132" s="198"/>
      <c r="C132" s="198"/>
      <c r="D132" s="198"/>
      <c r="E132" s="198"/>
      <c r="F132" s="198"/>
      <c r="G132" s="11">
        <v>124</v>
      </c>
      <c r="H132" s="18">
        <v>11130549</v>
      </c>
      <c r="I132" s="18">
        <v>9676955</v>
      </c>
    </row>
    <row r="133" spans="1:9" ht="12.75" customHeight="1" x14ac:dyDescent="0.2">
      <c r="A133" s="184" t="s">
        <v>358</v>
      </c>
      <c r="B133" s="184"/>
      <c r="C133" s="184"/>
      <c r="D133" s="184"/>
      <c r="E133" s="184"/>
      <c r="F133" s="184"/>
      <c r="G133" s="12">
        <v>125</v>
      </c>
      <c r="H133" s="120">
        <f>H75+H98+H105+H117+H132</f>
        <v>274301368</v>
      </c>
      <c r="I133" s="120">
        <f>I75+I98+I105+I117+I132</f>
        <v>362028132</v>
      </c>
    </row>
    <row r="134" spans="1:9" x14ac:dyDescent="0.2">
      <c r="A134" s="198" t="s">
        <v>100</v>
      </c>
      <c r="B134" s="198"/>
      <c r="C134" s="198"/>
      <c r="D134" s="198"/>
      <c r="E134" s="198"/>
      <c r="F134" s="198"/>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89" zoomScale="89" zoomScaleNormal="89" zoomScaleSheetLayoutView="110" workbookViewId="0">
      <selection activeCell="H19" sqref="H19"/>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471</v>
      </c>
      <c r="B2" s="205"/>
      <c r="C2" s="205"/>
      <c r="D2" s="205"/>
      <c r="E2" s="205"/>
      <c r="F2" s="205"/>
      <c r="G2" s="205"/>
      <c r="H2" s="205"/>
      <c r="I2" s="205"/>
    </row>
    <row r="3" spans="1:11" x14ac:dyDescent="0.2">
      <c r="A3" s="206" t="s">
        <v>448</v>
      </c>
      <c r="B3" s="207"/>
      <c r="C3" s="207"/>
      <c r="D3" s="207"/>
      <c r="E3" s="207"/>
      <c r="F3" s="207"/>
      <c r="G3" s="207"/>
      <c r="H3" s="207"/>
      <c r="I3" s="207"/>
      <c r="J3" s="208"/>
      <c r="K3" s="208"/>
    </row>
    <row r="4" spans="1:11" x14ac:dyDescent="0.2">
      <c r="A4" s="209" t="s">
        <v>468</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359</v>
      </c>
      <c r="B8" s="216"/>
      <c r="C8" s="216"/>
      <c r="D8" s="216"/>
      <c r="E8" s="216"/>
      <c r="F8" s="216"/>
      <c r="G8" s="12">
        <v>1</v>
      </c>
      <c r="H8" s="52">
        <f>SUM(H9:H13)</f>
        <v>117129785</v>
      </c>
      <c r="I8" s="52">
        <f>SUM(I9:I13)</f>
        <v>72438896</v>
      </c>
      <c r="J8" s="52">
        <f>SUM(J9:J13)</f>
        <v>112447715</v>
      </c>
      <c r="K8" s="52">
        <f>SUM(K9:K13)</f>
        <v>69086791</v>
      </c>
    </row>
    <row r="9" spans="1:11" ht="12.75" customHeight="1" x14ac:dyDescent="0.2">
      <c r="A9" s="182" t="s">
        <v>115</v>
      </c>
      <c r="B9" s="182"/>
      <c r="C9" s="182"/>
      <c r="D9" s="182"/>
      <c r="E9" s="182"/>
      <c r="F9" s="182"/>
      <c r="G9" s="11">
        <v>2</v>
      </c>
      <c r="H9" s="53">
        <v>0</v>
      </c>
      <c r="I9" s="53">
        <f>+H9</f>
        <v>0</v>
      </c>
      <c r="J9" s="53">
        <v>0</v>
      </c>
      <c r="K9" s="53">
        <v>0</v>
      </c>
    </row>
    <row r="10" spans="1:11" ht="12.75" customHeight="1" x14ac:dyDescent="0.2">
      <c r="A10" s="182" t="s">
        <v>116</v>
      </c>
      <c r="B10" s="182"/>
      <c r="C10" s="182"/>
      <c r="D10" s="182"/>
      <c r="E10" s="182"/>
      <c r="F10" s="182"/>
      <c r="G10" s="11">
        <v>3</v>
      </c>
      <c r="H10" s="53">
        <v>105902912</v>
      </c>
      <c r="I10" s="53">
        <f>+H10-40405180</f>
        <v>65497732</v>
      </c>
      <c r="J10" s="53">
        <v>100323472</v>
      </c>
      <c r="K10" s="53">
        <f>+J10-37802992</f>
        <v>62520480</v>
      </c>
    </row>
    <row r="11" spans="1:11" ht="12.75" customHeight="1" x14ac:dyDescent="0.2">
      <c r="A11" s="182" t="s">
        <v>117</v>
      </c>
      <c r="B11" s="182"/>
      <c r="C11" s="182"/>
      <c r="D11" s="182"/>
      <c r="E11" s="182"/>
      <c r="F11" s="182"/>
      <c r="G11" s="11">
        <v>4</v>
      </c>
      <c r="H11" s="53">
        <v>0</v>
      </c>
      <c r="I11" s="53">
        <f t="shared" ref="I11:I12" si="0">+H11</f>
        <v>0</v>
      </c>
      <c r="J11" s="53">
        <v>0</v>
      </c>
      <c r="K11" s="53">
        <f t="shared" ref="K11:K12" si="1">+J11</f>
        <v>0</v>
      </c>
    </row>
    <row r="12" spans="1:11" ht="12.75" customHeight="1" x14ac:dyDescent="0.2">
      <c r="A12" s="182" t="s">
        <v>118</v>
      </c>
      <c r="B12" s="182"/>
      <c r="C12" s="182"/>
      <c r="D12" s="182"/>
      <c r="E12" s="182"/>
      <c r="F12" s="182"/>
      <c r="G12" s="11">
        <v>5</v>
      </c>
      <c r="H12" s="53">
        <v>0</v>
      </c>
      <c r="I12" s="53">
        <f t="shared" si="0"/>
        <v>0</v>
      </c>
      <c r="J12" s="53">
        <v>0</v>
      </c>
      <c r="K12" s="53">
        <f t="shared" si="1"/>
        <v>0</v>
      </c>
    </row>
    <row r="13" spans="1:11" ht="12.75" customHeight="1" x14ac:dyDescent="0.2">
      <c r="A13" s="182" t="s">
        <v>119</v>
      </c>
      <c r="B13" s="182"/>
      <c r="C13" s="182"/>
      <c r="D13" s="182"/>
      <c r="E13" s="182"/>
      <c r="F13" s="182"/>
      <c r="G13" s="11">
        <v>6</v>
      </c>
      <c r="H13" s="53">
        <v>11226873</v>
      </c>
      <c r="I13" s="53">
        <f>+H13-4285709</f>
        <v>6941164</v>
      </c>
      <c r="J13" s="53">
        <v>12124243</v>
      </c>
      <c r="K13" s="53">
        <f>+J13-5557932</f>
        <v>6566311</v>
      </c>
    </row>
    <row r="14" spans="1:11" ht="12.75" customHeight="1" x14ac:dyDescent="0.2">
      <c r="A14" s="216" t="s">
        <v>360</v>
      </c>
      <c r="B14" s="216"/>
      <c r="C14" s="216"/>
      <c r="D14" s="216"/>
      <c r="E14" s="216"/>
      <c r="F14" s="216"/>
      <c r="G14" s="12">
        <v>7</v>
      </c>
      <c r="H14" s="52">
        <f>H15+H16+H20+H24+H25+H26+H29+H36</f>
        <v>126398353</v>
      </c>
      <c r="I14" s="52">
        <f>I15+I16+I20+I24+I25+I26+I29+I36</f>
        <v>71707104</v>
      </c>
      <c r="J14" s="52">
        <f>J15+J16+J20+J24+J25+J26+J29+J36</f>
        <v>133432205</v>
      </c>
      <c r="K14" s="52">
        <f>K15+K16+K20+K24+K25+K26+K29+K36</f>
        <v>74814924</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3" t="s">
        <v>440</v>
      </c>
      <c r="B16" s="183"/>
      <c r="C16" s="183"/>
      <c r="D16" s="183"/>
      <c r="E16" s="183"/>
      <c r="F16" s="183"/>
      <c r="G16" s="12">
        <v>9</v>
      </c>
      <c r="H16" s="52">
        <f>SUM(H17:H19)</f>
        <v>89052845</v>
      </c>
      <c r="I16" s="52">
        <f>SUM(I17:I19)</f>
        <v>51523182</v>
      </c>
      <c r="J16" s="52">
        <f>SUM(J17:J19)</f>
        <v>84856856</v>
      </c>
      <c r="K16" s="52">
        <f>SUM(K17:K19)</f>
        <v>49017724</v>
      </c>
    </row>
    <row r="17" spans="1:11" ht="12.75" customHeight="1" x14ac:dyDescent="0.2">
      <c r="A17" s="217" t="s">
        <v>120</v>
      </c>
      <c r="B17" s="217"/>
      <c r="C17" s="217"/>
      <c r="D17" s="217"/>
      <c r="E17" s="217"/>
      <c r="F17" s="217"/>
      <c r="G17" s="11">
        <v>10</v>
      </c>
      <c r="H17" s="53">
        <v>26111935</v>
      </c>
      <c r="I17" s="53">
        <f>+H17-10757584</f>
        <v>15354351</v>
      </c>
      <c r="J17" s="53">
        <v>23888410</v>
      </c>
      <c r="K17" s="53">
        <f>+J17-9935970</f>
        <v>13952440</v>
      </c>
    </row>
    <row r="18" spans="1:11" ht="12.75" customHeight="1" x14ac:dyDescent="0.2">
      <c r="A18" s="217" t="s">
        <v>121</v>
      </c>
      <c r="B18" s="217"/>
      <c r="C18" s="217"/>
      <c r="D18" s="217"/>
      <c r="E18" s="217"/>
      <c r="F18" s="217"/>
      <c r="G18" s="11">
        <v>11</v>
      </c>
      <c r="H18" s="53">
        <v>0</v>
      </c>
      <c r="I18" s="53">
        <v>0</v>
      </c>
      <c r="J18" s="53">
        <v>0</v>
      </c>
      <c r="K18" s="53">
        <f>+J18</f>
        <v>0</v>
      </c>
    </row>
    <row r="19" spans="1:11" ht="12.75" customHeight="1" x14ac:dyDescent="0.2">
      <c r="A19" s="217" t="s">
        <v>122</v>
      </c>
      <c r="B19" s="217"/>
      <c r="C19" s="217"/>
      <c r="D19" s="217"/>
      <c r="E19" s="217"/>
      <c r="F19" s="217"/>
      <c r="G19" s="11">
        <v>12</v>
      </c>
      <c r="H19" s="53">
        <v>62940910</v>
      </c>
      <c r="I19" s="53">
        <f>+H19-26772079</f>
        <v>36168831</v>
      </c>
      <c r="J19" s="53">
        <v>60968446</v>
      </c>
      <c r="K19" s="53">
        <f>+J19-25903162</f>
        <v>35065284</v>
      </c>
    </row>
    <row r="20" spans="1:11" ht="12.75" customHeight="1" x14ac:dyDescent="0.2">
      <c r="A20" s="183" t="s">
        <v>441</v>
      </c>
      <c r="B20" s="183"/>
      <c r="C20" s="183"/>
      <c r="D20" s="183"/>
      <c r="E20" s="183"/>
      <c r="F20" s="183"/>
      <c r="G20" s="12">
        <v>13</v>
      </c>
      <c r="H20" s="52">
        <f>SUM(H21:H23)</f>
        <v>20406545</v>
      </c>
      <c r="I20" s="52">
        <f>SUM(I21:I23)</f>
        <v>11003240</v>
      </c>
      <c r="J20" s="52">
        <f>SUM(J21:J23)</f>
        <v>24832870</v>
      </c>
      <c r="K20" s="52">
        <f>SUM(K21:K23)</f>
        <v>13011958</v>
      </c>
    </row>
    <row r="21" spans="1:11" ht="12.75" customHeight="1" x14ac:dyDescent="0.2">
      <c r="A21" s="217" t="s">
        <v>105</v>
      </c>
      <c r="B21" s="217"/>
      <c r="C21" s="217"/>
      <c r="D21" s="217"/>
      <c r="E21" s="217"/>
      <c r="F21" s="217"/>
      <c r="G21" s="11">
        <v>14</v>
      </c>
      <c r="H21" s="53">
        <v>11442325</v>
      </c>
      <c r="I21" s="53">
        <f>+H21-5281931</f>
        <v>6160394</v>
      </c>
      <c r="J21" s="53">
        <v>13841992</v>
      </c>
      <c r="K21" s="53">
        <f>+J21-6604723</f>
        <v>7237269</v>
      </c>
    </row>
    <row r="22" spans="1:11" ht="12.75" customHeight="1" x14ac:dyDescent="0.2">
      <c r="A22" s="217" t="s">
        <v>106</v>
      </c>
      <c r="B22" s="217"/>
      <c r="C22" s="217"/>
      <c r="D22" s="217"/>
      <c r="E22" s="217"/>
      <c r="F22" s="217"/>
      <c r="G22" s="11">
        <v>15</v>
      </c>
      <c r="H22" s="53">
        <v>5285179</v>
      </c>
      <c r="I22" s="53">
        <f>+H22-2411928</f>
        <v>2873251</v>
      </c>
      <c r="J22" s="53">
        <v>6485211</v>
      </c>
      <c r="K22" s="53">
        <f>+J22-3074192</f>
        <v>3411019</v>
      </c>
    </row>
    <row r="23" spans="1:11" ht="12.75" customHeight="1" x14ac:dyDescent="0.2">
      <c r="A23" s="217" t="s">
        <v>107</v>
      </c>
      <c r="B23" s="217"/>
      <c r="C23" s="217"/>
      <c r="D23" s="217"/>
      <c r="E23" s="217"/>
      <c r="F23" s="217"/>
      <c r="G23" s="11">
        <v>16</v>
      </c>
      <c r="H23" s="53">
        <v>3679041</v>
      </c>
      <c r="I23" s="53">
        <f>+H23-1709446</f>
        <v>1969595</v>
      </c>
      <c r="J23" s="53">
        <v>4505667</v>
      </c>
      <c r="K23" s="53">
        <f>+J23-2141997</f>
        <v>2363670</v>
      </c>
    </row>
    <row r="24" spans="1:11" ht="12.75" customHeight="1" x14ac:dyDescent="0.2">
      <c r="A24" s="182" t="s">
        <v>108</v>
      </c>
      <c r="B24" s="182"/>
      <c r="C24" s="182"/>
      <c r="D24" s="182"/>
      <c r="E24" s="182"/>
      <c r="F24" s="182"/>
      <c r="G24" s="11">
        <v>17</v>
      </c>
      <c r="H24" s="53">
        <v>10000302</v>
      </c>
      <c r="I24" s="53">
        <f>+H24-4696705</f>
        <v>5303597</v>
      </c>
      <c r="J24" s="53">
        <v>15933821</v>
      </c>
      <c r="K24" s="53">
        <f>+J24-7822007</f>
        <v>8111814</v>
      </c>
    </row>
    <row r="25" spans="1:11" ht="12.75" customHeight="1" x14ac:dyDescent="0.2">
      <c r="A25" s="182" t="s">
        <v>109</v>
      </c>
      <c r="B25" s="182"/>
      <c r="C25" s="182"/>
      <c r="D25" s="182"/>
      <c r="E25" s="182"/>
      <c r="F25" s="182"/>
      <c r="G25" s="11">
        <v>18</v>
      </c>
      <c r="H25" s="53">
        <v>6646012</v>
      </c>
      <c r="I25" s="53">
        <f>+H25-2894119</f>
        <v>3751893</v>
      </c>
      <c r="J25" s="53">
        <v>7098459</v>
      </c>
      <c r="K25" s="53">
        <f>+J25-2649865</f>
        <v>4448594</v>
      </c>
    </row>
    <row r="26" spans="1:11" ht="12.75" customHeight="1" x14ac:dyDescent="0.2">
      <c r="A26" s="183" t="s">
        <v>442</v>
      </c>
      <c r="B26" s="183"/>
      <c r="C26" s="183"/>
      <c r="D26" s="183"/>
      <c r="E26" s="183"/>
      <c r="F26" s="183"/>
      <c r="G26" s="12">
        <v>19</v>
      </c>
      <c r="H26" s="52">
        <f>H27+H28</f>
        <v>11284</v>
      </c>
      <c r="I26" s="52">
        <f>I27+I28</f>
        <v>11284</v>
      </c>
      <c r="J26" s="52">
        <f>J27+J28</f>
        <v>3281</v>
      </c>
      <c r="K26" s="52">
        <f>K27+K28</f>
        <v>3281</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11284</v>
      </c>
      <c r="I28" s="53">
        <f>+H28-0</f>
        <v>11284</v>
      </c>
      <c r="J28" s="53">
        <v>3281</v>
      </c>
      <c r="K28" s="53">
        <f>J28</f>
        <v>3281</v>
      </c>
    </row>
    <row r="29" spans="1:11" ht="12.75" customHeight="1" x14ac:dyDescent="0.2">
      <c r="A29" s="183" t="s">
        <v>443</v>
      </c>
      <c r="B29" s="183"/>
      <c r="C29" s="183"/>
      <c r="D29" s="183"/>
      <c r="E29" s="183"/>
      <c r="F29" s="183"/>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53">
        <v>0</v>
      </c>
      <c r="I30" s="53">
        <f>+H30-0</f>
        <v>0</v>
      </c>
      <c r="J30" s="53">
        <v>0</v>
      </c>
      <c r="K30" s="53">
        <f>+J30</f>
        <v>0</v>
      </c>
    </row>
    <row r="31" spans="1:11" ht="12.75" customHeight="1" x14ac:dyDescent="0.2">
      <c r="A31" s="217" t="s">
        <v>126</v>
      </c>
      <c r="B31" s="217"/>
      <c r="C31" s="217"/>
      <c r="D31" s="217"/>
      <c r="E31" s="217"/>
      <c r="F31" s="217"/>
      <c r="G31" s="11">
        <v>24</v>
      </c>
      <c r="H31" s="53">
        <v>0</v>
      </c>
      <c r="I31" s="53">
        <f t="shared" ref="I31:I35" si="2">+H31-0</f>
        <v>0</v>
      </c>
      <c r="J31" s="53">
        <v>0</v>
      </c>
      <c r="K31" s="53">
        <v>0</v>
      </c>
    </row>
    <row r="32" spans="1:11" ht="12.75" customHeight="1" x14ac:dyDescent="0.2">
      <c r="A32" s="217" t="s">
        <v>127</v>
      </c>
      <c r="B32" s="217"/>
      <c r="C32" s="217"/>
      <c r="D32" s="217"/>
      <c r="E32" s="217"/>
      <c r="F32" s="217"/>
      <c r="G32" s="11">
        <v>25</v>
      </c>
      <c r="H32" s="53">
        <v>0</v>
      </c>
      <c r="I32" s="53">
        <f t="shared" si="2"/>
        <v>0</v>
      </c>
      <c r="J32" s="53">
        <v>0</v>
      </c>
      <c r="K32" s="53">
        <f>+J32</f>
        <v>0</v>
      </c>
    </row>
    <row r="33" spans="1:11" ht="12.75" customHeight="1" x14ac:dyDescent="0.2">
      <c r="A33" s="217" t="s">
        <v>128</v>
      </c>
      <c r="B33" s="217"/>
      <c r="C33" s="217"/>
      <c r="D33" s="217"/>
      <c r="E33" s="217"/>
      <c r="F33" s="217"/>
      <c r="G33" s="11">
        <v>26</v>
      </c>
      <c r="H33" s="53">
        <v>0</v>
      </c>
      <c r="I33" s="53">
        <f t="shared" si="2"/>
        <v>0</v>
      </c>
      <c r="J33" s="53">
        <v>0</v>
      </c>
      <c r="K33" s="53">
        <v>0</v>
      </c>
    </row>
    <row r="34" spans="1:11" ht="12.75" customHeight="1" x14ac:dyDescent="0.2">
      <c r="A34" s="217" t="s">
        <v>129</v>
      </c>
      <c r="B34" s="217"/>
      <c r="C34" s="217"/>
      <c r="D34" s="217"/>
      <c r="E34" s="217"/>
      <c r="F34" s="217"/>
      <c r="G34" s="11">
        <v>27</v>
      </c>
      <c r="H34" s="53">
        <v>0</v>
      </c>
      <c r="I34" s="53">
        <f t="shared" si="2"/>
        <v>0</v>
      </c>
      <c r="J34" s="53">
        <v>0</v>
      </c>
      <c r="K34" s="53">
        <v>0</v>
      </c>
    </row>
    <row r="35" spans="1:11" ht="12.75" customHeight="1" x14ac:dyDescent="0.2">
      <c r="A35" s="217" t="s">
        <v>130</v>
      </c>
      <c r="B35" s="217"/>
      <c r="C35" s="217"/>
      <c r="D35" s="217"/>
      <c r="E35" s="217"/>
      <c r="F35" s="217"/>
      <c r="G35" s="11">
        <v>28</v>
      </c>
      <c r="H35" s="53">
        <v>0</v>
      </c>
      <c r="I35" s="53">
        <f t="shared" si="2"/>
        <v>0</v>
      </c>
      <c r="J35" s="53">
        <v>0</v>
      </c>
      <c r="K35" s="53">
        <f>+J35</f>
        <v>0</v>
      </c>
    </row>
    <row r="36" spans="1:11" ht="12.75" customHeight="1" x14ac:dyDescent="0.2">
      <c r="A36" s="182" t="s">
        <v>110</v>
      </c>
      <c r="B36" s="182"/>
      <c r="C36" s="182"/>
      <c r="D36" s="182"/>
      <c r="E36" s="182"/>
      <c r="F36" s="182"/>
      <c r="G36" s="11">
        <v>29</v>
      </c>
      <c r="H36" s="53">
        <v>281365</v>
      </c>
      <c r="I36" s="53">
        <f>+H36-167457</f>
        <v>113908</v>
      </c>
      <c r="J36" s="53">
        <v>706918</v>
      </c>
      <c r="K36" s="53">
        <f>+J36-485365</f>
        <v>221553</v>
      </c>
    </row>
    <row r="37" spans="1:11" ht="12.75" customHeight="1" x14ac:dyDescent="0.2">
      <c r="A37" s="216" t="s">
        <v>361</v>
      </c>
      <c r="B37" s="216"/>
      <c r="C37" s="216"/>
      <c r="D37" s="216"/>
      <c r="E37" s="216"/>
      <c r="F37" s="216"/>
      <c r="G37" s="12">
        <v>30</v>
      </c>
      <c r="H37" s="52">
        <f>SUM(H38:H47)</f>
        <v>6216536</v>
      </c>
      <c r="I37" s="52">
        <f>SUM(I38:I47)</f>
        <v>2084646</v>
      </c>
      <c r="J37" s="52">
        <f>SUM(J38:J47)</f>
        <v>20676238</v>
      </c>
      <c r="K37" s="52">
        <f>SUM(K38:K47)</f>
        <v>15694224</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f>+J41</f>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1304310</v>
      </c>
      <c r="I44" s="53">
        <f>+H44-648964</f>
        <v>655346</v>
      </c>
      <c r="J44" s="53">
        <v>410005</v>
      </c>
      <c r="K44" s="53">
        <f>+J44-240032</f>
        <v>169973</v>
      </c>
    </row>
    <row r="45" spans="1:11" ht="12.75" customHeight="1" x14ac:dyDescent="0.2">
      <c r="A45" s="182" t="s">
        <v>138</v>
      </c>
      <c r="B45" s="182"/>
      <c r="C45" s="182"/>
      <c r="D45" s="182"/>
      <c r="E45" s="182"/>
      <c r="F45" s="182"/>
      <c r="G45" s="11">
        <v>38</v>
      </c>
      <c r="H45" s="53">
        <v>4912226</v>
      </c>
      <c r="I45" s="53">
        <f>+H45-3482926</f>
        <v>1429300</v>
      </c>
      <c r="J45" s="53">
        <v>20266233</v>
      </c>
      <c r="K45" s="53">
        <f>+J45-4741982</f>
        <v>15524251</v>
      </c>
    </row>
    <row r="46" spans="1:11" ht="12.75" customHeight="1" x14ac:dyDescent="0.2">
      <c r="A46" s="182" t="s">
        <v>139</v>
      </c>
      <c r="B46" s="182"/>
      <c r="C46" s="182"/>
      <c r="D46" s="182"/>
      <c r="E46" s="182"/>
      <c r="F46" s="182"/>
      <c r="G46" s="11">
        <v>39</v>
      </c>
      <c r="H46" s="53">
        <v>0</v>
      </c>
      <c r="I46" s="53">
        <v>0</v>
      </c>
      <c r="J46" s="53">
        <v>0</v>
      </c>
      <c r="K46" s="53">
        <f t="shared" ref="K46:K47" si="3">+J46</f>
        <v>0</v>
      </c>
    </row>
    <row r="47" spans="1:11" ht="12.75" customHeight="1" x14ac:dyDescent="0.2">
      <c r="A47" s="182" t="s">
        <v>140</v>
      </c>
      <c r="B47" s="182"/>
      <c r="C47" s="182"/>
      <c r="D47" s="182"/>
      <c r="E47" s="182"/>
      <c r="F47" s="182"/>
      <c r="G47" s="11">
        <v>40</v>
      </c>
      <c r="H47" s="53">
        <v>0</v>
      </c>
      <c r="I47" s="53">
        <v>0</v>
      </c>
      <c r="J47" s="53">
        <v>0</v>
      </c>
      <c r="K47" s="53">
        <f t="shared" si="3"/>
        <v>0</v>
      </c>
    </row>
    <row r="48" spans="1:11" ht="12.75" customHeight="1" x14ac:dyDescent="0.2">
      <c r="A48" s="216" t="s">
        <v>362</v>
      </c>
      <c r="B48" s="216"/>
      <c r="C48" s="216"/>
      <c r="D48" s="216"/>
      <c r="E48" s="216"/>
      <c r="F48" s="216"/>
      <c r="G48" s="12">
        <v>41</v>
      </c>
      <c r="H48" s="52">
        <f>SUM(H49:H55)</f>
        <v>6397159</v>
      </c>
      <c r="I48" s="52">
        <f>SUM(I49:I55)</f>
        <v>2484597</v>
      </c>
      <c r="J48" s="52">
        <f>SUM(J49:J55)</f>
        <v>17529130</v>
      </c>
      <c r="K48" s="52">
        <f>SUM(K49:K55)</f>
        <v>12024812</v>
      </c>
    </row>
    <row r="49" spans="1:11" ht="25.15" customHeight="1" x14ac:dyDescent="0.2">
      <c r="A49" s="182" t="s">
        <v>141</v>
      </c>
      <c r="B49" s="182"/>
      <c r="C49" s="182"/>
      <c r="D49" s="182"/>
      <c r="E49" s="182"/>
      <c r="F49" s="182"/>
      <c r="G49" s="11">
        <v>42</v>
      </c>
      <c r="H49" s="53">
        <v>771975</v>
      </c>
      <c r="I49" s="53">
        <f>+H49-385987</f>
        <v>385988</v>
      </c>
      <c r="J49" s="53">
        <v>776491</v>
      </c>
      <c r="K49" s="53">
        <f>+J49-674345</f>
        <v>102146</v>
      </c>
    </row>
    <row r="50" spans="1:11" ht="12.75" customHeight="1" x14ac:dyDescent="0.2">
      <c r="A50" s="220" t="s">
        <v>142</v>
      </c>
      <c r="B50" s="220"/>
      <c r="C50" s="220"/>
      <c r="D50" s="220"/>
      <c r="E50" s="220"/>
      <c r="F50" s="220"/>
      <c r="G50" s="11">
        <v>43</v>
      </c>
      <c r="H50" s="53">
        <v>0</v>
      </c>
      <c r="I50" s="53">
        <v>0</v>
      </c>
      <c r="J50" s="53">
        <v>0</v>
      </c>
      <c r="K50" s="53">
        <f>+J50</f>
        <v>0</v>
      </c>
    </row>
    <row r="51" spans="1:11" ht="12.75" customHeight="1" x14ac:dyDescent="0.2">
      <c r="A51" s="220" t="s">
        <v>143</v>
      </c>
      <c r="B51" s="220"/>
      <c r="C51" s="220"/>
      <c r="D51" s="220"/>
      <c r="E51" s="220"/>
      <c r="F51" s="220"/>
      <c r="G51" s="11">
        <v>44</v>
      </c>
      <c r="H51" s="53">
        <v>1271081</v>
      </c>
      <c r="I51" s="53">
        <f>+H51-643108</f>
        <v>627973</v>
      </c>
      <c r="J51" s="53">
        <v>3796323</v>
      </c>
      <c r="K51" s="53">
        <f>+J51-1708499</f>
        <v>2087824</v>
      </c>
    </row>
    <row r="52" spans="1:11" ht="12.75" customHeight="1" x14ac:dyDescent="0.2">
      <c r="A52" s="220" t="s">
        <v>144</v>
      </c>
      <c r="B52" s="220"/>
      <c r="C52" s="220"/>
      <c r="D52" s="220"/>
      <c r="E52" s="220"/>
      <c r="F52" s="220"/>
      <c r="G52" s="11">
        <v>45</v>
      </c>
      <c r="H52" s="53">
        <v>4354103</v>
      </c>
      <c r="I52" s="53">
        <f>+H52-2883467</f>
        <v>1470636</v>
      </c>
      <c r="J52" s="53">
        <v>12956316</v>
      </c>
      <c r="K52" s="53">
        <f>+J52-3121474</f>
        <v>9834842</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0</v>
      </c>
      <c r="I55" s="53">
        <v>0</v>
      </c>
      <c r="J55" s="53">
        <v>0</v>
      </c>
      <c r="K55" s="53">
        <v>0</v>
      </c>
    </row>
    <row r="56" spans="1:11" ht="22.15" customHeight="1" x14ac:dyDescent="0.2">
      <c r="A56" s="222" t="s">
        <v>148</v>
      </c>
      <c r="B56" s="222"/>
      <c r="C56" s="222"/>
      <c r="D56" s="222"/>
      <c r="E56" s="222"/>
      <c r="F56" s="222"/>
      <c r="G56" s="11">
        <v>49</v>
      </c>
      <c r="H56" s="53">
        <v>0</v>
      </c>
      <c r="I56" s="53">
        <v>0</v>
      </c>
      <c r="J56" s="53">
        <v>0</v>
      </c>
      <c r="K56" s="53">
        <v>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363</v>
      </c>
      <c r="B60" s="216"/>
      <c r="C60" s="216"/>
      <c r="D60" s="216"/>
      <c r="E60" s="216"/>
      <c r="F60" s="216"/>
      <c r="G60" s="12">
        <v>53</v>
      </c>
      <c r="H60" s="52">
        <f>H8+H37+H56+H57</f>
        <v>123346321</v>
      </c>
      <c r="I60" s="52">
        <f t="shared" ref="I60:K60" si="4">I8+I37+I56+I57</f>
        <v>74523542</v>
      </c>
      <c r="J60" s="52">
        <f t="shared" si="4"/>
        <v>133123953</v>
      </c>
      <c r="K60" s="52">
        <f t="shared" si="4"/>
        <v>84781015</v>
      </c>
    </row>
    <row r="61" spans="1:11" ht="12.75" customHeight="1" x14ac:dyDescent="0.2">
      <c r="A61" s="216" t="s">
        <v>364</v>
      </c>
      <c r="B61" s="216"/>
      <c r="C61" s="216"/>
      <c r="D61" s="216"/>
      <c r="E61" s="216"/>
      <c r="F61" s="216"/>
      <c r="G61" s="12">
        <v>54</v>
      </c>
      <c r="H61" s="52">
        <f>H14+H48+H58+H59</f>
        <v>132795512</v>
      </c>
      <c r="I61" s="52">
        <f t="shared" ref="I61:K61" si="5">I14+I48+I58+I59</f>
        <v>74191701</v>
      </c>
      <c r="J61" s="52">
        <f t="shared" si="5"/>
        <v>150961335</v>
      </c>
      <c r="K61" s="52">
        <f t="shared" si="5"/>
        <v>86839736</v>
      </c>
    </row>
    <row r="62" spans="1:11" ht="12.75" customHeight="1" x14ac:dyDescent="0.2">
      <c r="A62" s="216" t="s">
        <v>365</v>
      </c>
      <c r="B62" s="216"/>
      <c r="C62" s="216"/>
      <c r="D62" s="216"/>
      <c r="E62" s="216"/>
      <c r="F62" s="216"/>
      <c r="G62" s="12">
        <v>55</v>
      </c>
      <c r="H62" s="52">
        <f>H60-H61</f>
        <v>-9449191</v>
      </c>
      <c r="I62" s="52">
        <f t="shared" ref="I62:K62" si="6">I60-I61</f>
        <v>331841</v>
      </c>
      <c r="J62" s="52">
        <f t="shared" si="6"/>
        <v>-17837382</v>
      </c>
      <c r="K62" s="52">
        <f t="shared" si="6"/>
        <v>-2058721</v>
      </c>
    </row>
    <row r="63" spans="1:11" ht="12.75" customHeight="1" x14ac:dyDescent="0.2">
      <c r="A63" s="221" t="s">
        <v>366</v>
      </c>
      <c r="B63" s="221"/>
      <c r="C63" s="221"/>
      <c r="D63" s="221"/>
      <c r="E63" s="221"/>
      <c r="F63" s="221"/>
      <c r="G63" s="12">
        <v>56</v>
      </c>
      <c r="H63" s="52">
        <f>+IF((H60-H61)&gt;0,(H60-H61),0)</f>
        <v>0</v>
      </c>
      <c r="I63" s="52">
        <f t="shared" ref="I63:K63" si="7">+IF((I60-I61)&gt;0,(I60-I61),0)</f>
        <v>331841</v>
      </c>
      <c r="J63" s="52">
        <f t="shared" si="7"/>
        <v>0</v>
      </c>
      <c r="K63" s="52">
        <f t="shared" si="7"/>
        <v>0</v>
      </c>
    </row>
    <row r="64" spans="1:11" ht="12.75" customHeight="1" x14ac:dyDescent="0.2">
      <c r="A64" s="221" t="s">
        <v>367</v>
      </c>
      <c r="B64" s="221"/>
      <c r="C64" s="221"/>
      <c r="D64" s="221"/>
      <c r="E64" s="221"/>
      <c r="F64" s="221"/>
      <c r="G64" s="12">
        <v>57</v>
      </c>
      <c r="H64" s="52">
        <f>+IF((H60-H61)&lt;0,(H60-H61),0)</f>
        <v>-9449191</v>
      </c>
      <c r="I64" s="52">
        <f t="shared" ref="I64:K64" si="8">+IF((I60-I61)&lt;0,(I60-I61),0)</f>
        <v>0</v>
      </c>
      <c r="J64" s="52">
        <f t="shared" si="8"/>
        <v>-17837382</v>
      </c>
      <c r="K64" s="52">
        <f t="shared" si="8"/>
        <v>-2058721</v>
      </c>
    </row>
    <row r="65" spans="1:11" ht="12.75" customHeight="1" x14ac:dyDescent="0.2">
      <c r="A65" s="222" t="s">
        <v>111</v>
      </c>
      <c r="B65" s="222"/>
      <c r="C65" s="222"/>
      <c r="D65" s="222"/>
      <c r="E65" s="222"/>
      <c r="F65" s="222"/>
      <c r="G65" s="11">
        <v>58</v>
      </c>
      <c r="H65" s="53">
        <v>0</v>
      </c>
      <c r="I65" s="53">
        <v>0</v>
      </c>
      <c r="J65" s="53">
        <v>0</v>
      </c>
      <c r="K65" s="53">
        <v>0</v>
      </c>
    </row>
    <row r="66" spans="1:11" ht="12.75" customHeight="1" x14ac:dyDescent="0.2">
      <c r="A66" s="216" t="s">
        <v>368</v>
      </c>
      <c r="B66" s="216"/>
      <c r="C66" s="216"/>
      <c r="D66" s="216"/>
      <c r="E66" s="216"/>
      <c r="F66" s="216"/>
      <c r="G66" s="12">
        <v>59</v>
      </c>
      <c r="H66" s="52">
        <f>H62-H65</f>
        <v>-9449191</v>
      </c>
      <c r="I66" s="52">
        <f t="shared" ref="I66:K66" si="9">I62-I65</f>
        <v>331841</v>
      </c>
      <c r="J66" s="52">
        <f t="shared" si="9"/>
        <v>-17837382</v>
      </c>
      <c r="K66" s="52">
        <f t="shared" si="9"/>
        <v>-2058721</v>
      </c>
    </row>
    <row r="67" spans="1:11" ht="12.75" customHeight="1" x14ac:dyDescent="0.2">
      <c r="A67" s="221" t="s">
        <v>369</v>
      </c>
      <c r="B67" s="221"/>
      <c r="C67" s="221"/>
      <c r="D67" s="221"/>
      <c r="E67" s="221"/>
      <c r="F67" s="221"/>
      <c r="G67" s="12">
        <v>60</v>
      </c>
      <c r="H67" s="52">
        <f>+IF((H62-H65)&gt;0,(H62-H65),0)</f>
        <v>0</v>
      </c>
      <c r="I67" s="52">
        <f t="shared" ref="I67:K67" si="10">+IF((I62-I65)&gt;0,(I62-I65),0)</f>
        <v>331841</v>
      </c>
      <c r="J67" s="52">
        <f t="shared" si="10"/>
        <v>0</v>
      </c>
      <c r="K67" s="52">
        <f t="shared" si="10"/>
        <v>0</v>
      </c>
    </row>
    <row r="68" spans="1:11" ht="12.75" customHeight="1" x14ac:dyDescent="0.2">
      <c r="A68" s="221" t="s">
        <v>370</v>
      </c>
      <c r="B68" s="221"/>
      <c r="C68" s="221"/>
      <c r="D68" s="221"/>
      <c r="E68" s="221"/>
      <c r="F68" s="221"/>
      <c r="G68" s="12">
        <v>61</v>
      </c>
      <c r="H68" s="52">
        <f>+IF((H62-H65)&lt;0,(H62-H65),0)</f>
        <v>-9449191</v>
      </c>
      <c r="I68" s="52">
        <f t="shared" ref="I68:K68" si="11">+IF((I62-I65)&lt;0,(I62-I65),0)</f>
        <v>0</v>
      </c>
      <c r="J68" s="52">
        <f t="shared" si="11"/>
        <v>-17837382</v>
      </c>
      <c r="K68" s="52">
        <f t="shared" si="11"/>
        <v>-2058721</v>
      </c>
    </row>
    <row r="69" spans="1:11" x14ac:dyDescent="0.2">
      <c r="A69" s="223" t="s">
        <v>152</v>
      </c>
      <c r="B69" s="223"/>
      <c r="C69" s="223"/>
      <c r="D69" s="223"/>
      <c r="E69" s="223"/>
      <c r="F69" s="223"/>
      <c r="G69" s="224"/>
      <c r="H69" s="224"/>
      <c r="I69" s="224"/>
      <c r="J69" s="225"/>
      <c r="K69" s="225"/>
    </row>
    <row r="70" spans="1:11" ht="22.15" customHeight="1" x14ac:dyDescent="0.2">
      <c r="A70" s="216" t="s">
        <v>371</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372</v>
      </c>
      <c r="B74" s="221"/>
      <c r="C74" s="221"/>
      <c r="D74" s="221"/>
      <c r="E74" s="221"/>
      <c r="F74" s="221"/>
      <c r="G74" s="12">
        <v>66</v>
      </c>
      <c r="H74" s="75">
        <v>0</v>
      </c>
      <c r="I74" s="75">
        <v>0</v>
      </c>
      <c r="J74" s="75">
        <v>0</v>
      </c>
      <c r="K74" s="75">
        <v>0</v>
      </c>
    </row>
    <row r="75" spans="1:11" ht="12.75" customHeight="1" x14ac:dyDescent="0.2">
      <c r="A75" s="221" t="s">
        <v>373</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374</v>
      </c>
      <c r="B77" s="216"/>
      <c r="C77" s="216"/>
      <c r="D77" s="216"/>
      <c r="E77" s="216"/>
      <c r="F77" s="216"/>
      <c r="G77" s="12">
        <v>68</v>
      </c>
      <c r="H77" s="75">
        <v>0</v>
      </c>
      <c r="I77" s="75">
        <v>0</v>
      </c>
      <c r="J77" s="75">
        <v>0</v>
      </c>
      <c r="K77" s="75">
        <v>0</v>
      </c>
    </row>
    <row r="78" spans="1:11" ht="12.75" customHeight="1" x14ac:dyDescent="0.2">
      <c r="A78" s="226" t="s">
        <v>375</v>
      </c>
      <c r="B78" s="226"/>
      <c r="C78" s="226"/>
      <c r="D78" s="226"/>
      <c r="E78" s="226"/>
      <c r="F78" s="226"/>
      <c r="G78" s="46">
        <v>69</v>
      </c>
      <c r="H78" s="54">
        <v>0</v>
      </c>
      <c r="I78" s="54">
        <v>0</v>
      </c>
      <c r="J78" s="54">
        <v>0</v>
      </c>
      <c r="K78" s="54">
        <v>0</v>
      </c>
    </row>
    <row r="79" spans="1:11" ht="12.75" customHeight="1" x14ac:dyDescent="0.2">
      <c r="A79" s="226" t="s">
        <v>376</v>
      </c>
      <c r="B79" s="226"/>
      <c r="C79" s="226"/>
      <c r="D79" s="226"/>
      <c r="E79" s="226"/>
      <c r="F79" s="226"/>
      <c r="G79" s="46">
        <v>70</v>
      </c>
      <c r="H79" s="54">
        <v>0</v>
      </c>
      <c r="I79" s="54">
        <v>0</v>
      </c>
      <c r="J79" s="54">
        <v>0</v>
      </c>
      <c r="K79" s="54">
        <v>0</v>
      </c>
    </row>
    <row r="80" spans="1:11" ht="12.75" customHeight="1" x14ac:dyDescent="0.2">
      <c r="A80" s="216" t="s">
        <v>377</v>
      </c>
      <c r="B80" s="216"/>
      <c r="C80" s="216"/>
      <c r="D80" s="216"/>
      <c r="E80" s="216"/>
      <c r="F80" s="216"/>
      <c r="G80" s="12">
        <v>71</v>
      </c>
      <c r="H80" s="75">
        <v>0</v>
      </c>
      <c r="I80" s="75">
        <v>0</v>
      </c>
      <c r="J80" s="75">
        <v>0</v>
      </c>
      <c r="K80" s="75">
        <v>0</v>
      </c>
    </row>
    <row r="81" spans="1:11" ht="12.75" customHeight="1" x14ac:dyDescent="0.2">
      <c r="A81" s="216" t="s">
        <v>378</v>
      </c>
      <c r="B81" s="216"/>
      <c r="C81" s="216"/>
      <c r="D81" s="216"/>
      <c r="E81" s="216"/>
      <c r="F81" s="216"/>
      <c r="G81" s="12">
        <v>72</v>
      </c>
      <c r="H81" s="75">
        <v>0</v>
      </c>
      <c r="I81" s="75">
        <v>0</v>
      </c>
      <c r="J81" s="75">
        <v>0</v>
      </c>
      <c r="K81" s="75">
        <v>0</v>
      </c>
    </row>
    <row r="82" spans="1:11" ht="12.75" customHeight="1" x14ac:dyDescent="0.2">
      <c r="A82" s="221" t="s">
        <v>379</v>
      </c>
      <c r="B82" s="221"/>
      <c r="C82" s="221"/>
      <c r="D82" s="221"/>
      <c r="E82" s="221"/>
      <c r="F82" s="221"/>
      <c r="G82" s="12">
        <v>73</v>
      </c>
      <c r="H82" s="75">
        <v>0</v>
      </c>
      <c r="I82" s="75">
        <v>0</v>
      </c>
      <c r="J82" s="75">
        <v>0</v>
      </c>
      <c r="K82" s="75">
        <v>0</v>
      </c>
    </row>
    <row r="83" spans="1:11" ht="12.75" customHeight="1" x14ac:dyDescent="0.2">
      <c r="A83" s="221" t="s">
        <v>380</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381</v>
      </c>
      <c r="B85" s="227"/>
      <c r="C85" s="227"/>
      <c r="D85" s="227"/>
      <c r="E85" s="227"/>
      <c r="F85" s="227"/>
      <c r="G85" s="12">
        <v>75</v>
      </c>
      <c r="H85" s="55">
        <f>H86+H87</f>
        <v>-9449191</v>
      </c>
      <c r="I85" s="55">
        <f>I86+I87</f>
        <v>331841</v>
      </c>
      <c r="J85" s="55">
        <f>J86+J87</f>
        <v>-17837382</v>
      </c>
      <c r="K85" s="55">
        <f>K86+K87</f>
        <v>-2058721</v>
      </c>
    </row>
    <row r="86" spans="1:11" ht="12.75" customHeight="1" x14ac:dyDescent="0.2">
      <c r="A86" s="228" t="s">
        <v>157</v>
      </c>
      <c r="B86" s="228"/>
      <c r="C86" s="228"/>
      <c r="D86" s="228"/>
      <c r="E86" s="228"/>
      <c r="F86" s="228"/>
      <c r="G86" s="11">
        <v>76</v>
      </c>
      <c r="H86" s="56">
        <v>-9449191</v>
      </c>
      <c r="I86" s="56">
        <v>331841</v>
      </c>
      <c r="J86" s="56">
        <f t="shared" ref="J86:K86" si="12">J66</f>
        <v>-17837382</v>
      </c>
      <c r="K86" s="56">
        <f t="shared" si="12"/>
        <v>-2058721</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-9449191</v>
      </c>
      <c r="I89" s="56">
        <v>331841</v>
      </c>
      <c r="J89" s="56">
        <f t="shared" ref="J89:K89" si="13">+J86</f>
        <v>-17837382</v>
      </c>
      <c r="K89" s="56">
        <f t="shared" si="13"/>
        <v>-2058721</v>
      </c>
    </row>
    <row r="90" spans="1:11" ht="24" customHeight="1" x14ac:dyDescent="0.2">
      <c r="A90" s="184" t="s">
        <v>437</v>
      </c>
      <c r="B90" s="184"/>
      <c r="C90" s="184"/>
      <c r="D90" s="184"/>
      <c r="E90" s="184"/>
      <c r="F90" s="184"/>
      <c r="G90" s="12">
        <v>79</v>
      </c>
      <c r="H90" s="73">
        <f>H91+H98</f>
        <v>-63476</v>
      </c>
      <c r="I90" s="73">
        <f>I91+I98</f>
        <v>0</v>
      </c>
      <c r="J90" s="73">
        <f t="shared" ref="J90:K90" si="14">J91+J98</f>
        <v>777261</v>
      </c>
      <c r="K90" s="73">
        <f t="shared" si="14"/>
        <v>777261</v>
      </c>
    </row>
    <row r="91" spans="1:11" ht="24" customHeight="1" x14ac:dyDescent="0.2">
      <c r="A91" s="231" t="s">
        <v>444</v>
      </c>
      <c r="B91" s="231"/>
      <c r="C91" s="231"/>
      <c r="D91" s="231"/>
      <c r="E91" s="231"/>
      <c r="F91" s="231"/>
      <c r="G91" s="12">
        <v>80</v>
      </c>
      <c r="H91" s="73">
        <f>SUM(H92:H96)</f>
        <v>0</v>
      </c>
      <c r="I91" s="73">
        <f>SUM(I92:I96)</f>
        <v>0</v>
      </c>
      <c r="J91" s="73">
        <f t="shared" ref="J91:K91" si="15">SUM(J92:J96)</f>
        <v>777261</v>
      </c>
      <c r="K91" s="73">
        <f t="shared" si="15"/>
        <v>777261</v>
      </c>
    </row>
    <row r="92" spans="1:11" ht="25.5" customHeight="1" x14ac:dyDescent="0.2">
      <c r="A92" s="220" t="s">
        <v>382</v>
      </c>
      <c r="B92" s="220"/>
      <c r="C92" s="220"/>
      <c r="D92" s="220"/>
      <c r="E92" s="220"/>
      <c r="F92" s="220"/>
      <c r="G92" s="12">
        <v>81</v>
      </c>
      <c r="H92" s="56">
        <v>0</v>
      </c>
      <c r="I92" s="56">
        <v>0</v>
      </c>
      <c r="J92" s="56">
        <v>777261</v>
      </c>
      <c r="K92" s="56">
        <f>J92-0</f>
        <v>777261</v>
      </c>
    </row>
    <row r="93" spans="1:11" ht="38.25" customHeight="1" x14ac:dyDescent="0.2">
      <c r="A93" s="220" t="s">
        <v>383</v>
      </c>
      <c r="B93" s="220"/>
      <c r="C93" s="220"/>
      <c r="D93" s="220"/>
      <c r="E93" s="220"/>
      <c r="F93" s="220"/>
      <c r="G93" s="12">
        <v>82</v>
      </c>
      <c r="H93" s="56">
        <v>0</v>
      </c>
      <c r="I93" s="56">
        <v>0</v>
      </c>
      <c r="J93" s="56">
        <v>0</v>
      </c>
      <c r="K93" s="56">
        <v>0</v>
      </c>
    </row>
    <row r="94" spans="1:11" ht="38.25" customHeight="1" x14ac:dyDescent="0.2">
      <c r="A94" s="220" t="s">
        <v>384</v>
      </c>
      <c r="B94" s="220"/>
      <c r="C94" s="220"/>
      <c r="D94" s="220"/>
      <c r="E94" s="220"/>
      <c r="F94" s="220"/>
      <c r="G94" s="12">
        <v>83</v>
      </c>
      <c r="H94" s="56">
        <v>0</v>
      </c>
      <c r="I94" s="56">
        <v>0</v>
      </c>
      <c r="J94" s="56">
        <v>0</v>
      </c>
      <c r="K94" s="56">
        <v>0</v>
      </c>
    </row>
    <row r="95" spans="1:11" x14ac:dyDescent="0.2">
      <c r="A95" s="220" t="s">
        <v>385</v>
      </c>
      <c r="B95" s="220"/>
      <c r="C95" s="220"/>
      <c r="D95" s="220"/>
      <c r="E95" s="220"/>
      <c r="F95" s="220"/>
      <c r="G95" s="12">
        <v>84</v>
      </c>
      <c r="H95" s="56">
        <v>0</v>
      </c>
      <c r="I95" s="56">
        <v>0</v>
      </c>
      <c r="J95" s="56">
        <v>0</v>
      </c>
      <c r="K95" s="56">
        <v>0</v>
      </c>
    </row>
    <row r="96" spans="1:11" x14ac:dyDescent="0.2">
      <c r="A96" s="220" t="s">
        <v>386</v>
      </c>
      <c r="B96" s="220"/>
      <c r="C96" s="220"/>
      <c r="D96" s="220"/>
      <c r="E96" s="220"/>
      <c r="F96" s="220"/>
      <c r="G96" s="12">
        <v>85</v>
      </c>
      <c r="H96" s="56">
        <v>0</v>
      </c>
      <c r="I96" s="56">
        <v>0</v>
      </c>
      <c r="J96" s="56">
        <v>0</v>
      </c>
      <c r="K96" s="56">
        <v>0</v>
      </c>
    </row>
    <row r="97" spans="1:11" ht="26.25" customHeight="1" x14ac:dyDescent="0.2">
      <c r="A97" s="220" t="s">
        <v>387</v>
      </c>
      <c r="B97" s="220"/>
      <c r="C97" s="220"/>
      <c r="D97" s="220"/>
      <c r="E97" s="220"/>
      <c r="F97" s="220"/>
      <c r="G97" s="12">
        <v>86</v>
      </c>
      <c r="H97" s="56">
        <v>0</v>
      </c>
      <c r="I97" s="56">
        <v>0</v>
      </c>
      <c r="J97" s="56">
        <v>1588632</v>
      </c>
      <c r="K97" s="56">
        <f>+J97-1449625</f>
        <v>139007</v>
      </c>
    </row>
    <row r="98" spans="1:11" ht="25.5" customHeight="1" x14ac:dyDescent="0.2">
      <c r="A98" s="231" t="s">
        <v>438</v>
      </c>
      <c r="B98" s="231"/>
      <c r="C98" s="231"/>
      <c r="D98" s="231"/>
      <c r="E98" s="231"/>
      <c r="F98" s="231"/>
      <c r="G98" s="12">
        <v>87</v>
      </c>
      <c r="H98" s="73">
        <f>SUM(H99:H106)</f>
        <v>-63476</v>
      </c>
      <c r="I98" s="73">
        <f>SUM(I99:I106)</f>
        <v>0</v>
      </c>
      <c r="J98" s="73">
        <f t="shared" ref="J98:K98" si="16">SUM(J99:J106)</f>
        <v>0</v>
      </c>
      <c r="K98" s="73">
        <f t="shared" si="16"/>
        <v>0</v>
      </c>
    </row>
    <row r="99" spans="1:11" x14ac:dyDescent="0.2">
      <c r="A99" s="232" t="s">
        <v>160</v>
      </c>
      <c r="B99" s="232"/>
      <c r="C99" s="232"/>
      <c r="D99" s="232"/>
      <c r="E99" s="232"/>
      <c r="F99" s="232"/>
      <c r="G99" s="11">
        <v>88</v>
      </c>
      <c r="H99" s="56">
        <v>0</v>
      </c>
      <c r="I99" s="56">
        <v>0</v>
      </c>
      <c r="J99" s="56">
        <v>0</v>
      </c>
      <c r="K99" s="56">
        <v>0</v>
      </c>
    </row>
    <row r="100" spans="1:11" ht="36" customHeight="1" x14ac:dyDescent="0.2">
      <c r="A100" s="220" t="s">
        <v>388</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389</v>
      </c>
      <c r="B104" s="220"/>
      <c r="C104" s="220"/>
      <c r="D104" s="220"/>
      <c r="E104" s="220"/>
      <c r="F104" s="220"/>
      <c r="G104" s="11">
        <v>93</v>
      </c>
      <c r="H104" s="56">
        <v>0</v>
      </c>
      <c r="I104" s="56">
        <v>0</v>
      </c>
      <c r="J104" s="56">
        <v>0</v>
      </c>
      <c r="K104" s="56">
        <v>0</v>
      </c>
    </row>
    <row r="105" spans="1:11" ht="26.25" customHeight="1" x14ac:dyDescent="0.2">
      <c r="A105" s="220" t="s">
        <v>390</v>
      </c>
      <c r="B105" s="220"/>
      <c r="C105" s="220"/>
      <c r="D105" s="220"/>
      <c r="E105" s="220"/>
      <c r="F105" s="220"/>
      <c r="G105" s="11">
        <v>94</v>
      </c>
      <c r="H105" s="56">
        <v>0</v>
      </c>
      <c r="I105" s="56">
        <v>0</v>
      </c>
      <c r="J105" s="56">
        <v>0</v>
      </c>
      <c r="K105" s="56">
        <v>0</v>
      </c>
    </row>
    <row r="106" spans="1:11" x14ac:dyDescent="0.2">
      <c r="A106" s="220" t="s">
        <v>391</v>
      </c>
      <c r="B106" s="220"/>
      <c r="C106" s="220"/>
      <c r="D106" s="220"/>
      <c r="E106" s="220"/>
      <c r="F106" s="220"/>
      <c r="G106" s="11">
        <v>95</v>
      </c>
      <c r="H106" s="56">
        <v>-63476</v>
      </c>
      <c r="I106" s="56">
        <f>+H106+63476</f>
        <v>0</v>
      </c>
      <c r="J106" s="56">
        <v>0</v>
      </c>
      <c r="K106" s="56">
        <v>0</v>
      </c>
    </row>
    <row r="107" spans="1:11" ht="24.75" customHeight="1" x14ac:dyDescent="0.2">
      <c r="A107" s="220" t="s">
        <v>392</v>
      </c>
      <c r="B107" s="220"/>
      <c r="C107" s="220"/>
      <c r="D107" s="220"/>
      <c r="E107" s="220"/>
      <c r="F107" s="220"/>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-63476</v>
      </c>
      <c r="I108" s="73">
        <f>I91+I98-I107-I97</f>
        <v>0</v>
      </c>
      <c r="J108" s="73">
        <f t="shared" ref="J108:K108" si="17">J91+J98-J107-J97</f>
        <v>-811371</v>
      </c>
      <c r="K108" s="73">
        <f t="shared" si="17"/>
        <v>638254</v>
      </c>
    </row>
    <row r="109" spans="1:11" ht="12.75" customHeight="1" x14ac:dyDescent="0.2">
      <c r="A109" s="184" t="s">
        <v>393</v>
      </c>
      <c r="B109" s="184"/>
      <c r="C109" s="184"/>
      <c r="D109" s="184"/>
      <c r="E109" s="184"/>
      <c r="F109" s="184"/>
      <c r="G109" s="12">
        <v>98</v>
      </c>
      <c r="H109" s="55">
        <f>H89+H108</f>
        <v>-9512667</v>
      </c>
      <c r="I109" s="55">
        <f>I89+I108</f>
        <v>331841</v>
      </c>
      <c r="J109" s="55">
        <f t="shared" ref="J109:K109" si="18">J89+J108</f>
        <v>-18648753</v>
      </c>
      <c r="K109" s="55">
        <f t="shared" si="18"/>
        <v>-1420467</v>
      </c>
    </row>
    <row r="110" spans="1:11" x14ac:dyDescent="0.2">
      <c r="A110" s="223" t="s">
        <v>164</v>
      </c>
      <c r="B110" s="223"/>
      <c r="C110" s="223"/>
      <c r="D110" s="223"/>
      <c r="E110" s="223"/>
      <c r="F110" s="223"/>
      <c r="G110" s="224"/>
      <c r="H110" s="224"/>
      <c r="I110" s="224"/>
      <c r="J110" s="225"/>
      <c r="K110" s="225"/>
    </row>
    <row r="111" spans="1:11" ht="12.75" customHeight="1" x14ac:dyDescent="0.2">
      <c r="A111" s="227" t="s">
        <v>394</v>
      </c>
      <c r="B111" s="227"/>
      <c r="C111" s="227"/>
      <c r="D111" s="227"/>
      <c r="E111" s="227"/>
      <c r="F111" s="227"/>
      <c r="G111" s="12">
        <v>99</v>
      </c>
      <c r="H111" s="55">
        <f>H112+H113</f>
        <v>-9512667</v>
      </c>
      <c r="I111" s="55">
        <f>I112+I113</f>
        <v>331841</v>
      </c>
      <c r="J111" s="55">
        <f>J112+J113</f>
        <v>-18648753</v>
      </c>
      <c r="K111" s="55">
        <f>K112+K113</f>
        <v>-1420467</v>
      </c>
    </row>
    <row r="112" spans="1:11" ht="12.75" customHeight="1" x14ac:dyDescent="0.2">
      <c r="A112" s="228" t="s">
        <v>113</v>
      </c>
      <c r="B112" s="228"/>
      <c r="C112" s="228"/>
      <c r="D112" s="228"/>
      <c r="E112" s="228"/>
      <c r="F112" s="228"/>
      <c r="G112" s="11">
        <v>100</v>
      </c>
      <c r="H112" s="56">
        <v>-9512667</v>
      </c>
      <c r="I112" s="56">
        <f t="shared" ref="I112:K112" si="19">I109</f>
        <v>331841</v>
      </c>
      <c r="J112" s="56">
        <f t="shared" si="19"/>
        <v>-18648753</v>
      </c>
      <c r="K112" s="56">
        <f t="shared" si="19"/>
        <v>-1420467</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85" workbookViewId="0">
      <selection activeCell="I29" sqref="I2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471</v>
      </c>
      <c r="B2" s="188"/>
      <c r="C2" s="188"/>
      <c r="D2" s="188"/>
      <c r="E2" s="188"/>
      <c r="F2" s="188"/>
      <c r="G2" s="188"/>
      <c r="H2" s="188"/>
      <c r="I2" s="188"/>
    </row>
    <row r="3" spans="1:9" x14ac:dyDescent="0.2">
      <c r="A3" s="237" t="s">
        <v>448</v>
      </c>
      <c r="B3" s="238"/>
      <c r="C3" s="238"/>
      <c r="D3" s="238"/>
      <c r="E3" s="238"/>
      <c r="F3" s="238"/>
      <c r="G3" s="238"/>
      <c r="H3" s="238"/>
      <c r="I3" s="238"/>
    </row>
    <row r="4" spans="1:9" x14ac:dyDescent="0.2">
      <c r="A4" s="236" t="s">
        <v>469</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-9449191</v>
      </c>
      <c r="I8" s="68">
        <f>Bilanca!I94</f>
        <v>-17837382</v>
      </c>
    </row>
    <row r="9" spans="1:9" ht="12.75" customHeight="1" x14ac:dyDescent="0.2">
      <c r="A9" s="240" t="s">
        <v>171</v>
      </c>
      <c r="B9" s="240"/>
      <c r="C9" s="240"/>
      <c r="D9" s="240"/>
      <c r="E9" s="240"/>
      <c r="F9" s="240"/>
      <c r="G9" s="69">
        <v>2</v>
      </c>
      <c r="H9" s="70">
        <f>H10+H11+H12+H13+H14+H15+H16+H17</f>
        <v>-3569053</v>
      </c>
      <c r="I9" s="70">
        <f>I10+I11+I12+I13+I14+I15+I16+I17</f>
        <v>-1527966</v>
      </c>
    </row>
    <row r="10" spans="1:9" ht="12.75" customHeight="1" x14ac:dyDescent="0.2">
      <c r="A10" s="217" t="s">
        <v>172</v>
      </c>
      <c r="B10" s="217"/>
      <c r="C10" s="217"/>
      <c r="D10" s="217"/>
      <c r="E10" s="217"/>
      <c r="F10" s="217"/>
      <c r="G10" s="67">
        <v>3</v>
      </c>
      <c r="H10" s="68">
        <v>10000302</v>
      </c>
      <c r="I10" s="68">
        <v>15933821</v>
      </c>
    </row>
    <row r="11" spans="1:9" ht="22.15" customHeight="1" x14ac:dyDescent="0.2">
      <c r="A11" s="217" t="s">
        <v>173</v>
      </c>
      <c r="B11" s="217"/>
      <c r="C11" s="217"/>
      <c r="D11" s="217"/>
      <c r="E11" s="217"/>
      <c r="F11" s="217"/>
      <c r="G11" s="67">
        <v>4</v>
      </c>
      <c r="H11" s="68">
        <v>-2247</v>
      </c>
      <c r="I11" s="68">
        <v>-381</v>
      </c>
    </row>
    <row r="12" spans="1:9" ht="23.45" customHeight="1" x14ac:dyDescent="0.2">
      <c r="A12" s="217" t="s">
        <v>174</v>
      </c>
      <c r="B12" s="217"/>
      <c r="C12" s="217"/>
      <c r="D12" s="217"/>
      <c r="E12" s="217"/>
      <c r="F12" s="217"/>
      <c r="G12" s="67">
        <v>5</v>
      </c>
      <c r="H12" s="68">
        <v>0</v>
      </c>
      <c r="I12" s="68">
        <v>0</v>
      </c>
    </row>
    <row r="13" spans="1:9" ht="12.75" customHeight="1" x14ac:dyDescent="0.2">
      <c r="A13" s="217" t="s">
        <v>175</v>
      </c>
      <c r="B13" s="217"/>
      <c r="C13" s="217"/>
      <c r="D13" s="217"/>
      <c r="E13" s="217"/>
      <c r="F13" s="217"/>
      <c r="G13" s="67">
        <v>6</v>
      </c>
      <c r="H13" s="68">
        <v>-1304310</v>
      </c>
      <c r="I13" s="68">
        <v>-410005</v>
      </c>
    </row>
    <row r="14" spans="1:9" ht="12.75" customHeight="1" x14ac:dyDescent="0.2">
      <c r="A14" s="217" t="s">
        <v>176</v>
      </c>
      <c r="B14" s="217"/>
      <c r="C14" s="217"/>
      <c r="D14" s="217"/>
      <c r="E14" s="217"/>
      <c r="F14" s="217"/>
      <c r="G14" s="67">
        <v>7</v>
      </c>
      <c r="H14" s="68">
        <v>2043055</v>
      </c>
      <c r="I14" s="68">
        <v>4572814</v>
      </c>
    </row>
    <row r="15" spans="1:9" ht="12.75" customHeight="1" x14ac:dyDescent="0.2">
      <c r="A15" s="217" t="s">
        <v>177</v>
      </c>
      <c r="B15" s="217"/>
      <c r="C15" s="217"/>
      <c r="D15" s="217"/>
      <c r="E15" s="217"/>
      <c r="F15" s="217"/>
      <c r="G15" s="67">
        <v>8</v>
      </c>
      <c r="H15" s="68">
        <v>0</v>
      </c>
      <c r="I15" s="68">
        <v>0</v>
      </c>
    </row>
    <row r="16" spans="1:9" ht="12.75" customHeight="1" x14ac:dyDescent="0.2">
      <c r="A16" s="217" t="s">
        <v>178</v>
      </c>
      <c r="B16" s="217"/>
      <c r="C16" s="217"/>
      <c r="D16" s="217"/>
      <c r="E16" s="217"/>
      <c r="F16" s="217"/>
      <c r="G16" s="67">
        <v>9</v>
      </c>
      <c r="H16" s="68">
        <v>246062</v>
      </c>
      <c r="I16" s="68">
        <v>-10022201</v>
      </c>
    </row>
    <row r="17" spans="1:9" ht="25.15" customHeight="1" x14ac:dyDescent="0.2">
      <c r="A17" s="217" t="s">
        <v>179</v>
      </c>
      <c r="B17" s="217"/>
      <c r="C17" s="217"/>
      <c r="D17" s="217"/>
      <c r="E17" s="217"/>
      <c r="F17" s="217"/>
      <c r="G17" s="67">
        <v>10</v>
      </c>
      <c r="H17" s="68">
        <v>-14551915</v>
      </c>
      <c r="I17" s="68">
        <v>-11602014</v>
      </c>
    </row>
    <row r="18" spans="1:9" ht="28.15" customHeight="1" x14ac:dyDescent="0.2">
      <c r="A18" s="239" t="s">
        <v>306</v>
      </c>
      <c r="B18" s="239"/>
      <c r="C18" s="239"/>
      <c r="D18" s="239"/>
      <c r="E18" s="239"/>
      <c r="F18" s="239"/>
      <c r="G18" s="69">
        <v>11</v>
      </c>
      <c r="H18" s="70">
        <f>H8+H9</f>
        <v>-13018244</v>
      </c>
      <c r="I18" s="70">
        <f>I8+I9</f>
        <v>-19365348</v>
      </c>
    </row>
    <row r="19" spans="1:9" ht="12.75" customHeight="1" x14ac:dyDescent="0.2">
      <c r="A19" s="240" t="s">
        <v>180</v>
      </c>
      <c r="B19" s="240"/>
      <c r="C19" s="240"/>
      <c r="D19" s="240"/>
      <c r="E19" s="240"/>
      <c r="F19" s="240"/>
      <c r="G19" s="69">
        <v>12</v>
      </c>
      <c r="H19" s="70">
        <f>H20+H21+H22+H23</f>
        <v>21801628</v>
      </c>
      <c r="I19" s="70">
        <f>I20+I21+I22+I23</f>
        <v>38557971</v>
      </c>
    </row>
    <row r="20" spans="1:9" ht="12.75" customHeight="1" x14ac:dyDescent="0.2">
      <c r="A20" s="217" t="s">
        <v>181</v>
      </c>
      <c r="B20" s="217"/>
      <c r="C20" s="217"/>
      <c r="D20" s="217"/>
      <c r="E20" s="217"/>
      <c r="F20" s="217"/>
      <c r="G20" s="67">
        <v>13</v>
      </c>
      <c r="H20" s="68">
        <v>26184520</v>
      </c>
      <c r="I20" s="68">
        <v>41469942</v>
      </c>
    </row>
    <row r="21" spans="1:9" ht="12.75" customHeight="1" x14ac:dyDescent="0.2">
      <c r="A21" s="217" t="s">
        <v>182</v>
      </c>
      <c r="B21" s="217"/>
      <c r="C21" s="217"/>
      <c r="D21" s="217"/>
      <c r="E21" s="217"/>
      <c r="F21" s="217"/>
      <c r="G21" s="67">
        <v>14</v>
      </c>
      <c r="H21" s="68">
        <v>-12370603</v>
      </c>
      <c r="I21" s="68">
        <v>-12099828</v>
      </c>
    </row>
    <row r="22" spans="1:9" ht="12.75" customHeight="1" x14ac:dyDescent="0.2">
      <c r="A22" s="217" t="s">
        <v>183</v>
      </c>
      <c r="B22" s="217"/>
      <c r="C22" s="217"/>
      <c r="D22" s="217"/>
      <c r="E22" s="217"/>
      <c r="F22" s="217"/>
      <c r="G22" s="67">
        <v>15</v>
      </c>
      <c r="H22" s="68">
        <v>-630024</v>
      </c>
      <c r="I22" s="68">
        <v>-322087</v>
      </c>
    </row>
    <row r="23" spans="1:9" ht="12.75" customHeight="1" x14ac:dyDescent="0.2">
      <c r="A23" s="217" t="s">
        <v>184</v>
      </c>
      <c r="B23" s="217"/>
      <c r="C23" s="217"/>
      <c r="D23" s="217"/>
      <c r="E23" s="217"/>
      <c r="F23" s="217"/>
      <c r="G23" s="67">
        <v>16</v>
      </c>
      <c r="H23" s="68">
        <v>8617735</v>
      </c>
      <c r="I23" s="68">
        <v>9509944</v>
      </c>
    </row>
    <row r="24" spans="1:9" ht="12.75" customHeight="1" x14ac:dyDescent="0.2">
      <c r="A24" s="239" t="s">
        <v>185</v>
      </c>
      <c r="B24" s="239"/>
      <c r="C24" s="239"/>
      <c r="D24" s="239"/>
      <c r="E24" s="239"/>
      <c r="F24" s="239"/>
      <c r="G24" s="69">
        <v>17</v>
      </c>
      <c r="H24" s="70">
        <f>H18+H19</f>
        <v>8783384</v>
      </c>
      <c r="I24" s="70">
        <f>I18+I19</f>
        <v>19192623</v>
      </c>
    </row>
    <row r="25" spans="1:9" ht="12.75" customHeight="1" x14ac:dyDescent="0.2">
      <c r="A25" s="182" t="s">
        <v>186</v>
      </c>
      <c r="B25" s="182"/>
      <c r="C25" s="182"/>
      <c r="D25" s="182"/>
      <c r="E25" s="182"/>
      <c r="F25" s="182"/>
      <c r="G25" s="67">
        <v>18</v>
      </c>
      <c r="H25" s="68">
        <v>-1286365</v>
      </c>
      <c r="I25" s="68">
        <v>-3795100</v>
      </c>
    </row>
    <row r="26" spans="1:9" ht="12.75" customHeight="1" x14ac:dyDescent="0.2">
      <c r="A26" s="182" t="s">
        <v>187</v>
      </c>
      <c r="B26" s="182"/>
      <c r="C26" s="182"/>
      <c r="D26" s="182"/>
      <c r="E26" s="182"/>
      <c r="F26" s="182"/>
      <c r="G26" s="67">
        <v>19</v>
      </c>
      <c r="H26" s="68">
        <v>0</v>
      </c>
      <c r="I26" s="68">
        <v>0</v>
      </c>
    </row>
    <row r="27" spans="1:9" ht="25.9" customHeight="1" x14ac:dyDescent="0.2">
      <c r="A27" s="244" t="s">
        <v>188</v>
      </c>
      <c r="B27" s="244"/>
      <c r="C27" s="244"/>
      <c r="D27" s="244"/>
      <c r="E27" s="244"/>
      <c r="F27" s="244"/>
      <c r="G27" s="69">
        <v>20</v>
      </c>
      <c r="H27" s="70">
        <f>H24+H25+H26</f>
        <v>7497019</v>
      </c>
      <c r="I27" s="70">
        <f>I24+I25+I26</f>
        <v>15397523</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33914</v>
      </c>
      <c r="I29" s="71">
        <v>33494</v>
      </c>
    </row>
    <row r="30" spans="1:9" ht="12.75" customHeight="1" x14ac:dyDescent="0.2">
      <c r="A30" s="182" t="s">
        <v>191</v>
      </c>
      <c r="B30" s="182"/>
      <c r="C30" s="182"/>
      <c r="D30" s="182"/>
      <c r="E30" s="182"/>
      <c r="F30" s="182"/>
      <c r="G30" s="67">
        <v>22</v>
      </c>
      <c r="H30" s="71">
        <v>290244</v>
      </c>
      <c r="I30" s="71">
        <v>0</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324158</v>
      </c>
      <c r="I35" s="72">
        <f>I29+I30+I31+I32+I33+I34</f>
        <v>33494</v>
      </c>
    </row>
    <row r="36" spans="1:9" ht="22.9" customHeight="1" x14ac:dyDescent="0.2">
      <c r="A36" s="182" t="s">
        <v>197</v>
      </c>
      <c r="B36" s="182"/>
      <c r="C36" s="182"/>
      <c r="D36" s="182"/>
      <c r="E36" s="182"/>
      <c r="F36" s="182"/>
      <c r="G36" s="67">
        <v>28</v>
      </c>
      <c r="H36" s="71">
        <v>-2338178</v>
      </c>
      <c r="I36" s="71">
        <v>-11128225</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-5522250</v>
      </c>
      <c r="I40" s="71">
        <v>-7294318</v>
      </c>
    </row>
    <row r="41" spans="1:9" ht="24" customHeight="1" x14ac:dyDescent="0.2">
      <c r="A41" s="239" t="s">
        <v>202</v>
      </c>
      <c r="B41" s="239"/>
      <c r="C41" s="239"/>
      <c r="D41" s="239"/>
      <c r="E41" s="239"/>
      <c r="F41" s="239"/>
      <c r="G41" s="69">
        <v>33</v>
      </c>
      <c r="H41" s="72">
        <f>H36+H37+H38+H39+H40</f>
        <v>-7860428</v>
      </c>
      <c r="I41" s="72">
        <f>I36+I37+I38+I39+I40</f>
        <v>-18422543</v>
      </c>
    </row>
    <row r="42" spans="1:9" ht="29.45" customHeight="1" x14ac:dyDescent="0.2">
      <c r="A42" s="244" t="s">
        <v>203</v>
      </c>
      <c r="B42" s="244"/>
      <c r="C42" s="244"/>
      <c r="D42" s="244"/>
      <c r="E42" s="244"/>
      <c r="F42" s="244"/>
      <c r="G42" s="69">
        <v>34</v>
      </c>
      <c r="H42" s="72">
        <f>H35+H41</f>
        <v>-7536270</v>
      </c>
      <c r="I42" s="72">
        <f>I35+I41</f>
        <v>-18389049</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0</v>
      </c>
    </row>
    <row r="47" spans="1:9" ht="12.75" customHeight="1" x14ac:dyDescent="0.2">
      <c r="A47" s="182" t="s">
        <v>208</v>
      </c>
      <c r="B47" s="182"/>
      <c r="C47" s="182"/>
      <c r="D47" s="182"/>
      <c r="E47" s="182"/>
      <c r="F47" s="182"/>
      <c r="G47" s="67">
        <v>38</v>
      </c>
      <c r="H47" s="71">
        <v>0</v>
      </c>
      <c r="I47" s="71">
        <v>0</v>
      </c>
    </row>
    <row r="48" spans="1:9" ht="22.15" customHeight="1" x14ac:dyDescent="0.2">
      <c r="A48" s="239" t="s">
        <v>209</v>
      </c>
      <c r="B48" s="239"/>
      <c r="C48" s="239"/>
      <c r="D48" s="239"/>
      <c r="E48" s="239"/>
      <c r="F48" s="239"/>
      <c r="G48" s="69">
        <v>39</v>
      </c>
      <c r="H48" s="72">
        <f>H44+H45+H46+H47</f>
        <v>0</v>
      </c>
      <c r="I48" s="72">
        <f>I44+I45+I46+I47</f>
        <v>0</v>
      </c>
    </row>
    <row r="49" spans="1:9" ht="24.6" customHeight="1" x14ac:dyDescent="0.2">
      <c r="A49" s="182" t="s">
        <v>305</v>
      </c>
      <c r="B49" s="182"/>
      <c r="C49" s="182"/>
      <c r="D49" s="182"/>
      <c r="E49" s="182"/>
      <c r="F49" s="182"/>
      <c r="G49" s="67">
        <v>40</v>
      </c>
      <c r="H49" s="71">
        <v>0</v>
      </c>
      <c r="I49" s="71">
        <v>-2010</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-7207565</v>
      </c>
      <c r="I53" s="71">
        <v>-12561788</v>
      </c>
    </row>
    <row r="54" spans="1:9" ht="30.6" customHeight="1" x14ac:dyDescent="0.2">
      <c r="A54" s="239" t="s">
        <v>214</v>
      </c>
      <c r="B54" s="239"/>
      <c r="C54" s="239"/>
      <c r="D54" s="239"/>
      <c r="E54" s="239"/>
      <c r="F54" s="239"/>
      <c r="G54" s="69">
        <v>45</v>
      </c>
      <c r="H54" s="72">
        <f>H49+H50+H51+H52+H53</f>
        <v>-7207565</v>
      </c>
      <c r="I54" s="72">
        <f>I49+I50+I51+I52+I53</f>
        <v>-12563798</v>
      </c>
    </row>
    <row r="55" spans="1:9" ht="29.45" customHeight="1" x14ac:dyDescent="0.2">
      <c r="A55" s="244" t="s">
        <v>215</v>
      </c>
      <c r="B55" s="244"/>
      <c r="C55" s="244"/>
      <c r="D55" s="244"/>
      <c r="E55" s="244"/>
      <c r="F55" s="244"/>
      <c r="G55" s="69">
        <v>46</v>
      </c>
      <c r="H55" s="72">
        <f>H48+H54</f>
        <v>-7207565</v>
      </c>
      <c r="I55" s="72">
        <f>I48+I54</f>
        <v>-12563798</v>
      </c>
    </row>
    <row r="56" spans="1:9" x14ac:dyDescent="0.2">
      <c r="A56" s="182" t="s">
        <v>216</v>
      </c>
      <c r="B56" s="182"/>
      <c r="C56" s="182"/>
      <c r="D56" s="182"/>
      <c r="E56" s="182"/>
      <c r="F56" s="182"/>
      <c r="G56" s="67">
        <v>47</v>
      </c>
      <c r="H56" s="71">
        <v>0</v>
      </c>
      <c r="I56" s="71">
        <v>0</v>
      </c>
    </row>
    <row r="57" spans="1:9" ht="26.45" customHeight="1" x14ac:dyDescent="0.2">
      <c r="A57" s="244" t="s">
        <v>217</v>
      </c>
      <c r="B57" s="244"/>
      <c r="C57" s="244"/>
      <c r="D57" s="244"/>
      <c r="E57" s="244"/>
      <c r="F57" s="244"/>
      <c r="G57" s="69">
        <v>48</v>
      </c>
      <c r="H57" s="72">
        <f>H27+H42+H55+H56</f>
        <v>-7246816</v>
      </c>
      <c r="I57" s="72">
        <f>I27+I42+I55+I56</f>
        <v>-15555324</v>
      </c>
    </row>
    <row r="58" spans="1:9" x14ac:dyDescent="0.2">
      <c r="A58" s="245" t="s">
        <v>218</v>
      </c>
      <c r="B58" s="245"/>
      <c r="C58" s="245"/>
      <c r="D58" s="245"/>
      <c r="E58" s="245"/>
      <c r="F58" s="245"/>
      <c r="G58" s="67">
        <v>49</v>
      </c>
      <c r="H58" s="71">
        <v>79913078</v>
      </c>
      <c r="I58" s="71">
        <v>45638047</v>
      </c>
    </row>
    <row r="59" spans="1:9" ht="31.15" customHeight="1" x14ac:dyDescent="0.2">
      <c r="A59" s="244" t="s">
        <v>219</v>
      </c>
      <c r="B59" s="244"/>
      <c r="C59" s="244"/>
      <c r="D59" s="244"/>
      <c r="E59" s="244"/>
      <c r="F59" s="244"/>
      <c r="G59" s="69">
        <v>50</v>
      </c>
      <c r="H59" s="72">
        <f>H57+H58</f>
        <v>72666262</v>
      </c>
      <c r="I59" s="72">
        <f>I57+I58</f>
        <v>30082723</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I16" sqref="I16"/>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328</v>
      </c>
      <c r="B2" s="188"/>
      <c r="C2" s="188"/>
      <c r="D2" s="188"/>
      <c r="E2" s="188"/>
      <c r="F2" s="188"/>
      <c r="G2" s="188"/>
      <c r="H2" s="188"/>
      <c r="I2" s="188"/>
    </row>
    <row r="3" spans="1:9" x14ac:dyDescent="0.2">
      <c r="A3" s="259" t="s">
        <v>448</v>
      </c>
      <c r="B3" s="260"/>
      <c r="C3" s="260"/>
      <c r="D3" s="260"/>
      <c r="E3" s="260"/>
      <c r="F3" s="260"/>
      <c r="G3" s="260"/>
      <c r="H3" s="260"/>
      <c r="I3" s="260"/>
    </row>
    <row r="4" spans="1:9" x14ac:dyDescent="0.2">
      <c r="A4" s="236" t="s">
        <v>329</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395</v>
      </c>
      <c r="B12" s="250"/>
      <c r="C12" s="250"/>
      <c r="D12" s="250"/>
      <c r="E12" s="250"/>
      <c r="F12" s="250"/>
      <c r="G12" s="17">
        <v>5</v>
      </c>
      <c r="H12" s="24">
        <v>0</v>
      </c>
      <c r="I12" s="24">
        <v>0</v>
      </c>
    </row>
    <row r="13" spans="1:9" x14ac:dyDescent="0.2">
      <c r="A13" s="258" t="s">
        <v>396</v>
      </c>
      <c r="B13" s="258"/>
      <c r="C13" s="258"/>
      <c r="D13" s="258"/>
      <c r="E13" s="258"/>
      <c r="F13" s="258"/>
      <c r="G13" s="57">
        <v>6</v>
      </c>
      <c r="H13" s="60">
        <f>SUM(H8:H12)</f>
        <v>0</v>
      </c>
      <c r="I13" s="60">
        <f>SUM(I8:I12)</f>
        <v>0</v>
      </c>
    </row>
    <row r="14" spans="1:9" ht="12.75" customHeight="1" x14ac:dyDescent="0.2">
      <c r="A14" s="250" t="s">
        <v>397</v>
      </c>
      <c r="B14" s="250"/>
      <c r="C14" s="250"/>
      <c r="D14" s="250"/>
      <c r="E14" s="250"/>
      <c r="F14" s="250"/>
      <c r="G14" s="17">
        <v>7</v>
      </c>
      <c r="H14" s="24">
        <v>0</v>
      </c>
      <c r="I14" s="24">
        <v>0</v>
      </c>
    </row>
    <row r="15" spans="1:9" ht="12.75" customHeight="1" x14ac:dyDescent="0.2">
      <c r="A15" s="250" t="s">
        <v>398</v>
      </c>
      <c r="B15" s="250"/>
      <c r="C15" s="250"/>
      <c r="D15" s="250"/>
      <c r="E15" s="250"/>
      <c r="F15" s="250"/>
      <c r="G15" s="17">
        <v>8</v>
      </c>
      <c r="H15" s="24">
        <v>0</v>
      </c>
      <c r="I15" s="24">
        <v>0</v>
      </c>
    </row>
    <row r="16" spans="1:9" ht="12.75" customHeight="1" x14ac:dyDescent="0.2">
      <c r="A16" s="250" t="s">
        <v>399</v>
      </c>
      <c r="B16" s="250"/>
      <c r="C16" s="250"/>
      <c r="D16" s="250"/>
      <c r="E16" s="250"/>
      <c r="F16" s="250"/>
      <c r="G16" s="17">
        <v>9</v>
      </c>
      <c r="H16" s="24">
        <v>0</v>
      </c>
      <c r="I16" s="24">
        <v>0</v>
      </c>
    </row>
    <row r="17" spans="1:9" ht="12.75" customHeight="1" x14ac:dyDescent="0.2">
      <c r="A17" s="250" t="s">
        <v>400</v>
      </c>
      <c r="B17" s="250"/>
      <c r="C17" s="250"/>
      <c r="D17" s="250"/>
      <c r="E17" s="250"/>
      <c r="F17" s="250"/>
      <c r="G17" s="17">
        <v>10</v>
      </c>
      <c r="H17" s="24">
        <v>0</v>
      </c>
      <c r="I17" s="24">
        <v>0</v>
      </c>
    </row>
    <row r="18" spans="1:9" ht="12.75" customHeight="1" x14ac:dyDescent="0.2">
      <c r="A18" s="250" t="s">
        <v>401</v>
      </c>
      <c r="B18" s="250"/>
      <c r="C18" s="250"/>
      <c r="D18" s="250"/>
      <c r="E18" s="250"/>
      <c r="F18" s="250"/>
      <c r="G18" s="17">
        <v>11</v>
      </c>
      <c r="H18" s="24">
        <v>0</v>
      </c>
      <c r="I18" s="24">
        <v>0</v>
      </c>
    </row>
    <row r="19" spans="1:9" ht="12.75" customHeight="1" x14ac:dyDescent="0.2">
      <c r="A19" s="250" t="s">
        <v>402</v>
      </c>
      <c r="B19" s="250"/>
      <c r="C19" s="250"/>
      <c r="D19" s="250"/>
      <c r="E19" s="250"/>
      <c r="F19" s="250"/>
      <c r="G19" s="17">
        <v>12</v>
      </c>
      <c r="H19" s="24">
        <v>0</v>
      </c>
      <c r="I19" s="24">
        <v>0</v>
      </c>
    </row>
    <row r="20" spans="1:9" ht="26.25" customHeight="1" x14ac:dyDescent="0.2">
      <c r="A20" s="258" t="s">
        <v>403</v>
      </c>
      <c r="B20" s="258"/>
      <c r="C20" s="258"/>
      <c r="D20" s="258"/>
      <c r="E20" s="258"/>
      <c r="F20" s="258"/>
      <c r="G20" s="57">
        <v>13</v>
      </c>
      <c r="H20" s="60">
        <f>SUM(H14:H19)</f>
        <v>0</v>
      </c>
      <c r="I20" s="60">
        <f>SUM(I14:I19)</f>
        <v>0</v>
      </c>
    </row>
    <row r="21" spans="1:9" ht="27.6" customHeight="1" x14ac:dyDescent="0.2">
      <c r="A21" s="256" t="s">
        <v>404</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405</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406</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407</v>
      </c>
      <c r="B35" s="251"/>
      <c r="C35" s="251"/>
      <c r="D35" s="251"/>
      <c r="E35" s="251"/>
      <c r="F35" s="251"/>
      <c r="G35" s="57">
        <v>27</v>
      </c>
      <c r="H35" s="61">
        <f>SUM(H30:H34)</f>
        <v>0</v>
      </c>
      <c r="I35" s="61">
        <f>SUM(I30:I34)</f>
        <v>0</v>
      </c>
    </row>
    <row r="36" spans="1:9" ht="28.15" customHeight="1" x14ac:dyDescent="0.2">
      <c r="A36" s="256" t="s">
        <v>408</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409</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410</v>
      </c>
      <c r="B48" s="251"/>
      <c r="C48" s="251"/>
      <c r="D48" s="251"/>
      <c r="E48" s="251"/>
      <c r="F48" s="251"/>
      <c r="G48" s="57">
        <v>39</v>
      </c>
      <c r="H48" s="61">
        <f>H47+H46+H45+H44+H43</f>
        <v>0</v>
      </c>
      <c r="I48" s="61">
        <f>I47+I46+I45+I44+I43</f>
        <v>0</v>
      </c>
    </row>
    <row r="49" spans="1:9" ht="25.9" customHeight="1" x14ac:dyDescent="0.2">
      <c r="A49" s="262" t="s">
        <v>445</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411</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412</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F44" zoomScaleNormal="100" zoomScaleSheetLayoutView="80" workbookViewId="0">
      <selection activeCell="W29" sqref="W2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45658</v>
      </c>
      <c r="F2" s="4" t="s">
        <v>0</v>
      </c>
      <c r="G2" s="9">
        <v>45838</v>
      </c>
      <c r="H2" s="27"/>
      <c r="I2" s="27"/>
      <c r="J2" s="27"/>
      <c r="K2" s="26"/>
      <c r="X2" s="28" t="s">
        <v>448</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92387953</v>
      </c>
      <c r="I7" s="33">
        <v>0</v>
      </c>
      <c r="J7" s="33">
        <v>0</v>
      </c>
      <c r="K7" s="33">
        <v>0</v>
      </c>
      <c r="L7" s="33">
        <v>0</v>
      </c>
      <c r="M7" s="33">
        <v>0</v>
      </c>
      <c r="N7" s="33">
        <v>412157</v>
      </c>
      <c r="O7" s="33">
        <v>412184</v>
      </c>
      <c r="P7" s="33">
        <v>63476</v>
      </c>
      <c r="Q7" s="33">
        <v>0</v>
      </c>
      <c r="R7" s="33">
        <v>0</v>
      </c>
      <c r="S7" s="33">
        <v>0</v>
      </c>
      <c r="T7" s="33">
        <v>0</v>
      </c>
      <c r="U7" s="33">
        <v>-80467432</v>
      </c>
      <c r="V7" s="33">
        <v>2361792</v>
      </c>
      <c r="W7" s="34">
        <f>H7+I7+J7+K7-L7+M7+N7+O7+P7+Q7+R7+U7+V7+S7+T7</f>
        <v>15170130</v>
      </c>
      <c r="X7" s="33">
        <v>0</v>
      </c>
      <c r="Y7" s="34">
        <f>W7+X7</f>
        <v>15170130</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92387953</v>
      </c>
      <c r="I10" s="34">
        <f t="shared" ref="I10:Y10" si="2">I7+I8+I9</f>
        <v>0</v>
      </c>
      <c r="J10" s="34">
        <f t="shared" si="2"/>
        <v>0</v>
      </c>
      <c r="K10" s="34">
        <f>K7+K8+K9</f>
        <v>0</v>
      </c>
      <c r="L10" s="34">
        <f t="shared" si="2"/>
        <v>0</v>
      </c>
      <c r="M10" s="34">
        <f t="shared" si="2"/>
        <v>0</v>
      </c>
      <c r="N10" s="34">
        <f t="shared" si="2"/>
        <v>412157</v>
      </c>
      <c r="O10" s="34">
        <f t="shared" si="2"/>
        <v>412184</v>
      </c>
      <c r="P10" s="34">
        <f t="shared" si="2"/>
        <v>63476</v>
      </c>
      <c r="Q10" s="34">
        <f t="shared" si="2"/>
        <v>0</v>
      </c>
      <c r="R10" s="34">
        <f t="shared" si="2"/>
        <v>0</v>
      </c>
      <c r="S10" s="34">
        <f t="shared" si="2"/>
        <v>0</v>
      </c>
      <c r="T10" s="34">
        <f t="shared" si="2"/>
        <v>0</v>
      </c>
      <c r="U10" s="34">
        <f t="shared" si="2"/>
        <v>-80467432</v>
      </c>
      <c r="V10" s="34">
        <f t="shared" si="2"/>
        <v>2361792</v>
      </c>
      <c r="W10" s="34">
        <f t="shared" si="2"/>
        <v>15170130</v>
      </c>
      <c r="X10" s="34">
        <f t="shared" si="2"/>
        <v>0</v>
      </c>
      <c r="Y10" s="34">
        <f t="shared" si="2"/>
        <v>15170130</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f>RDG!H66</f>
        <v>-9449191</v>
      </c>
      <c r="W11" s="34">
        <f t="shared" ref="W11:W29" si="3">H11+I11+J11+K11-L11+M11+N11+O11+P11+Q11+R11+U11+V11+S11+T11</f>
        <v>-9449191</v>
      </c>
      <c r="X11" s="33">
        <v>0</v>
      </c>
      <c r="Y11" s="34">
        <f t="shared" ref="Y11:Y29" si="4">W11+X11</f>
        <v>-9449191</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-63476</v>
      </c>
      <c r="Q14" s="35">
        <v>0</v>
      </c>
      <c r="R14" s="35">
        <v>0</v>
      </c>
      <c r="S14" s="33">
        <v>0</v>
      </c>
      <c r="T14" s="33">
        <v>0</v>
      </c>
      <c r="U14" s="33">
        <v>0</v>
      </c>
      <c r="V14" s="33">
        <v>0</v>
      </c>
      <c r="W14" s="34">
        <f t="shared" si="3"/>
        <v>-63476</v>
      </c>
      <c r="X14" s="33">
        <v>0</v>
      </c>
      <c r="Y14" s="34">
        <f t="shared" si="4"/>
        <v>-63476</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f>RDG!H101</f>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420</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424</v>
      </c>
      <c r="B27" s="270"/>
      <c r="C27" s="270"/>
      <c r="D27" s="270"/>
      <c r="E27" s="270"/>
      <c r="F27" s="270"/>
      <c r="G27" s="6">
        <v>21</v>
      </c>
      <c r="H27" s="33">
        <v>0</v>
      </c>
      <c r="I27" s="33">
        <v>0</v>
      </c>
      <c r="J27" s="33">
        <v>0</v>
      </c>
      <c r="K27" s="33">
        <v>0</v>
      </c>
      <c r="L27" s="33">
        <v>0</v>
      </c>
      <c r="M27" s="33">
        <v>0</v>
      </c>
      <c r="N27" s="33">
        <v>133549</v>
      </c>
      <c r="O27" s="33">
        <v>0</v>
      </c>
      <c r="P27" s="33">
        <v>0</v>
      </c>
      <c r="Q27" s="33">
        <v>0</v>
      </c>
      <c r="R27" s="33">
        <v>0</v>
      </c>
      <c r="S27" s="33">
        <v>0</v>
      </c>
      <c r="T27" s="33">
        <v>0</v>
      </c>
      <c r="U27" s="33">
        <v>0</v>
      </c>
      <c r="V27" s="33">
        <v>0</v>
      </c>
      <c r="W27" s="34">
        <f t="shared" si="3"/>
        <v>133549</v>
      </c>
      <c r="X27" s="33">
        <v>0</v>
      </c>
      <c r="Y27" s="34">
        <f t="shared" si="4"/>
        <v>133549</v>
      </c>
    </row>
    <row r="28" spans="1:25" ht="12.75" customHeight="1" x14ac:dyDescent="0.2">
      <c r="A28" s="270" t="s">
        <v>425</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2228223</v>
      </c>
      <c r="V28" s="33">
        <v>-2361792</v>
      </c>
      <c r="W28" s="34">
        <f t="shared" si="3"/>
        <v>-133569</v>
      </c>
      <c r="X28" s="33">
        <v>0</v>
      </c>
      <c r="Y28" s="34">
        <f t="shared" si="4"/>
        <v>-133569</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427</v>
      </c>
      <c r="B30" s="288"/>
      <c r="C30" s="288"/>
      <c r="D30" s="288"/>
      <c r="E30" s="288"/>
      <c r="F30" s="288"/>
      <c r="G30" s="8">
        <v>24</v>
      </c>
      <c r="H30" s="36">
        <f>SUM(H10:H29)</f>
        <v>92387953</v>
      </c>
      <c r="I30" s="36">
        <f t="shared" ref="I30:Y30" si="5">SUM(I10:I29)</f>
        <v>0</v>
      </c>
      <c r="J30" s="36">
        <f t="shared" si="5"/>
        <v>0</v>
      </c>
      <c r="K30" s="36">
        <f t="shared" si="5"/>
        <v>0</v>
      </c>
      <c r="L30" s="36">
        <f t="shared" si="5"/>
        <v>0</v>
      </c>
      <c r="M30" s="36">
        <f t="shared" si="5"/>
        <v>0</v>
      </c>
      <c r="N30" s="36">
        <f t="shared" si="5"/>
        <v>545706</v>
      </c>
      <c r="O30" s="36">
        <f t="shared" si="5"/>
        <v>412184</v>
      </c>
      <c r="P30" s="36">
        <f t="shared" si="5"/>
        <v>0</v>
      </c>
      <c r="Q30" s="36">
        <f t="shared" si="5"/>
        <v>0</v>
      </c>
      <c r="R30" s="36">
        <f t="shared" si="5"/>
        <v>0</v>
      </c>
      <c r="S30" s="36">
        <f t="shared" si="5"/>
        <v>0</v>
      </c>
      <c r="T30" s="36">
        <f t="shared" si="5"/>
        <v>0</v>
      </c>
      <c r="U30" s="36">
        <f t="shared" si="5"/>
        <v>-78239209</v>
      </c>
      <c r="V30" s="36">
        <f t="shared" si="5"/>
        <v>-9449191</v>
      </c>
      <c r="W30" s="36">
        <f t="shared" si="5"/>
        <v>5657443</v>
      </c>
      <c r="X30" s="36">
        <f t="shared" si="5"/>
        <v>0</v>
      </c>
      <c r="Y30" s="36">
        <f t="shared" si="5"/>
        <v>5657443</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-63476</v>
      </c>
      <c r="Q32" s="34">
        <f t="shared" si="6"/>
        <v>0</v>
      </c>
      <c r="R32" s="34">
        <f t="shared" si="6"/>
        <v>0</v>
      </c>
      <c r="S32" s="34">
        <f t="shared" ref="S32:T32" si="7">SUM(S12:S20)</f>
        <v>0</v>
      </c>
      <c r="T32" s="34">
        <f t="shared" si="7"/>
        <v>0</v>
      </c>
      <c r="U32" s="34">
        <f t="shared" si="6"/>
        <v>0</v>
      </c>
      <c r="V32" s="34">
        <f t="shared" si="6"/>
        <v>0</v>
      </c>
      <c r="W32" s="34">
        <f t="shared" si="6"/>
        <v>-63476</v>
      </c>
      <c r="X32" s="34">
        <f t="shared" si="6"/>
        <v>0</v>
      </c>
      <c r="Y32" s="34">
        <f t="shared" si="6"/>
        <v>-63476</v>
      </c>
    </row>
    <row r="33" spans="1:25" ht="31.5" customHeight="1" x14ac:dyDescent="0.2">
      <c r="A33" s="291" t="s">
        <v>428</v>
      </c>
      <c r="B33" s="291"/>
      <c r="C33" s="291"/>
      <c r="D33" s="291"/>
      <c r="E33" s="291"/>
      <c r="F33" s="291"/>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-63476</v>
      </c>
      <c r="Q33" s="34">
        <f t="shared" si="8"/>
        <v>0</v>
      </c>
      <c r="R33" s="34">
        <f t="shared" si="8"/>
        <v>0</v>
      </c>
      <c r="S33" s="34">
        <f t="shared" ref="S33:T33" si="9">S11+S32</f>
        <v>0</v>
      </c>
      <c r="T33" s="34">
        <f t="shared" si="9"/>
        <v>0</v>
      </c>
      <c r="U33" s="34">
        <f t="shared" si="8"/>
        <v>0</v>
      </c>
      <c r="V33" s="34">
        <f t="shared" si="8"/>
        <v>-9449191</v>
      </c>
      <c r="W33" s="34">
        <f t="shared" si="8"/>
        <v>-9512667</v>
      </c>
      <c r="X33" s="34">
        <f t="shared" si="8"/>
        <v>0</v>
      </c>
      <c r="Y33" s="34">
        <f t="shared" si="8"/>
        <v>-9512667</v>
      </c>
    </row>
    <row r="34" spans="1:25" ht="30.75" customHeight="1" x14ac:dyDescent="0.2">
      <c r="A34" s="292" t="s">
        <v>429</v>
      </c>
      <c r="B34" s="292"/>
      <c r="C34" s="292"/>
      <c r="D34" s="292"/>
      <c r="E34" s="292"/>
      <c r="F34" s="292"/>
      <c r="G34" s="8">
        <v>27</v>
      </c>
      <c r="H34" s="36">
        <f>SUM(H21:H29)</f>
        <v>0</v>
      </c>
      <c r="I34" s="36">
        <f t="shared" ref="I34:Y34" si="10">SUM(I21:I29)</f>
        <v>0</v>
      </c>
      <c r="J34" s="36">
        <f t="shared" si="10"/>
        <v>0</v>
      </c>
      <c r="K34" s="36">
        <f t="shared" si="10"/>
        <v>0</v>
      </c>
      <c r="L34" s="36">
        <f t="shared" si="10"/>
        <v>0</v>
      </c>
      <c r="M34" s="36">
        <f t="shared" si="10"/>
        <v>0</v>
      </c>
      <c r="N34" s="36">
        <f t="shared" si="10"/>
        <v>133549</v>
      </c>
      <c r="O34" s="36">
        <f t="shared" si="10"/>
        <v>0</v>
      </c>
      <c r="P34" s="36">
        <f t="shared" si="10"/>
        <v>0</v>
      </c>
      <c r="Q34" s="36">
        <f t="shared" si="10"/>
        <v>0</v>
      </c>
      <c r="R34" s="36">
        <f t="shared" si="10"/>
        <v>0</v>
      </c>
      <c r="S34" s="36">
        <f t="shared" ref="S34:T34" si="11">SUM(S21:S29)</f>
        <v>0</v>
      </c>
      <c r="T34" s="36">
        <f t="shared" si="11"/>
        <v>0</v>
      </c>
      <c r="U34" s="36">
        <f t="shared" si="10"/>
        <v>2228223</v>
      </c>
      <c r="V34" s="36">
        <f t="shared" si="10"/>
        <v>-2361792</v>
      </c>
      <c r="W34" s="36">
        <f t="shared" si="10"/>
        <v>-20</v>
      </c>
      <c r="X34" s="36">
        <f t="shared" si="10"/>
        <v>0</v>
      </c>
      <c r="Y34" s="36">
        <f t="shared" si="10"/>
        <v>-20</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f>Bilanca!H76</f>
        <v>92387953</v>
      </c>
      <c r="I36" s="33">
        <f>Bilanca!H77</f>
        <v>0</v>
      </c>
      <c r="J36" s="33">
        <v>0</v>
      </c>
      <c r="K36" s="33">
        <v>0</v>
      </c>
      <c r="L36" s="33">
        <v>0</v>
      </c>
      <c r="M36" s="33">
        <v>0</v>
      </c>
      <c r="N36" s="33">
        <f>Bilanca!H83</f>
        <v>545705</v>
      </c>
      <c r="O36" s="33">
        <f>Bilanca!H84</f>
        <v>7016033</v>
      </c>
      <c r="P36" s="33">
        <f>Bilanca!H86</f>
        <v>0</v>
      </c>
      <c r="Q36" s="33">
        <v>0</v>
      </c>
      <c r="R36" s="33">
        <v>0</v>
      </c>
      <c r="S36" s="33">
        <v>0</v>
      </c>
      <c r="T36" s="33">
        <v>0</v>
      </c>
      <c r="U36" s="33">
        <f>Bilanca!H91</f>
        <v>-78239208</v>
      </c>
      <c r="V36" s="33">
        <f>Bilanca!H94</f>
        <v>-19394690</v>
      </c>
      <c r="W36" s="37">
        <f>H36+I36+J36+K36-L36+M36+N36+O36+P36+Q36+R36+U36+V36+S36+T36</f>
        <v>2315793</v>
      </c>
      <c r="X36" s="33">
        <v>0</v>
      </c>
      <c r="Y36" s="37">
        <f t="shared" ref="Y36:Y38" si="12">W36+X36</f>
        <v>2315793</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1" t="s">
        <v>430</v>
      </c>
      <c r="B39" s="271"/>
      <c r="C39" s="271"/>
      <c r="D39" s="271"/>
      <c r="E39" s="271"/>
      <c r="F39" s="271"/>
      <c r="G39" s="7">
        <v>31</v>
      </c>
      <c r="H39" s="34">
        <f>H36+H37+H38</f>
        <v>92387953</v>
      </c>
      <c r="I39" s="34">
        <f t="shared" ref="I39:Y39" si="14">I36+I37+I38</f>
        <v>0</v>
      </c>
      <c r="J39" s="34">
        <f t="shared" si="14"/>
        <v>0</v>
      </c>
      <c r="K39" s="34">
        <f t="shared" si="14"/>
        <v>0</v>
      </c>
      <c r="L39" s="34">
        <f t="shared" si="14"/>
        <v>0</v>
      </c>
      <c r="M39" s="34">
        <f t="shared" si="14"/>
        <v>0</v>
      </c>
      <c r="N39" s="34">
        <f t="shared" si="14"/>
        <v>545705</v>
      </c>
      <c r="O39" s="34">
        <f t="shared" si="14"/>
        <v>7016033</v>
      </c>
      <c r="P39" s="34">
        <f t="shared" si="14"/>
        <v>0</v>
      </c>
      <c r="Q39" s="34">
        <f t="shared" si="14"/>
        <v>0</v>
      </c>
      <c r="R39" s="34">
        <f t="shared" si="14"/>
        <v>0</v>
      </c>
      <c r="S39" s="34">
        <f t="shared" si="14"/>
        <v>0</v>
      </c>
      <c r="T39" s="34">
        <f t="shared" si="14"/>
        <v>0</v>
      </c>
      <c r="U39" s="34">
        <f t="shared" si="14"/>
        <v>-78239208</v>
      </c>
      <c r="V39" s="34">
        <f t="shared" si="14"/>
        <v>-19394690</v>
      </c>
      <c r="W39" s="34">
        <f t="shared" si="14"/>
        <v>2315793</v>
      </c>
      <c r="X39" s="34">
        <f t="shared" si="14"/>
        <v>0</v>
      </c>
      <c r="Y39" s="34">
        <f t="shared" si="14"/>
        <v>2315793</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f>RDG!J66</f>
        <v>-17837382</v>
      </c>
      <c r="W40" s="37">
        <f t="shared" ref="W40:W58" si="15">H40+I40+J40+K40-L40+M40+N40+O40+P40+Q40+R40+U40+V40+S40+T40</f>
        <v>-17837382</v>
      </c>
      <c r="X40" s="33">
        <v>0</v>
      </c>
      <c r="Y40" s="37">
        <f t="shared" ref="Y40:Y58" si="16">W40+X40</f>
        <v>-17837382</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f>RDG!J92-RDG!K97</f>
        <v>638254</v>
      </c>
      <c r="P42" s="35">
        <v>0</v>
      </c>
      <c r="Q42" s="35">
        <v>0</v>
      </c>
      <c r="R42" s="35">
        <v>0</v>
      </c>
      <c r="S42" s="33">
        <v>0</v>
      </c>
      <c r="T42" s="33">
        <v>0</v>
      </c>
      <c r="U42" s="33">
        <v>0</v>
      </c>
      <c r="V42" s="33">
        <v>0</v>
      </c>
      <c r="W42" s="37">
        <f t="shared" si="15"/>
        <v>638254</v>
      </c>
      <c r="X42" s="33">
        <v>0</v>
      </c>
      <c r="Y42" s="37">
        <f t="shared" si="16"/>
        <v>638254</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f>RDG!J106</f>
        <v>0</v>
      </c>
      <c r="Q43" s="35">
        <v>0</v>
      </c>
      <c r="R43" s="35">
        <v>0</v>
      </c>
      <c r="S43" s="33">
        <v>0</v>
      </c>
      <c r="T43" s="33">
        <v>0</v>
      </c>
      <c r="U43" s="33">
        <v>0</v>
      </c>
      <c r="V43" s="33">
        <v>0</v>
      </c>
      <c r="W43" s="37">
        <f t="shared" si="15"/>
        <v>0</v>
      </c>
      <c r="X43" s="33">
        <v>0</v>
      </c>
      <c r="Y43" s="37">
        <f t="shared" si="16"/>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0" t="s">
        <v>423</v>
      </c>
      <c r="B54" s="270"/>
      <c r="C54" s="270"/>
      <c r="D54" s="270"/>
      <c r="E54" s="270"/>
      <c r="F54" s="270"/>
      <c r="G54" s="6">
        <v>46</v>
      </c>
      <c r="H54" s="33">
        <f>I36</f>
        <v>0</v>
      </c>
      <c r="I54" s="33">
        <f>I36*-1</f>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0" t="s">
        <v>424</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0" t="s">
        <v>432</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f>(V57*-1)+147</f>
        <v>-19394543</v>
      </c>
      <c r="V57" s="33">
        <f>V36*-1</f>
        <v>19394690</v>
      </c>
      <c r="W57" s="37">
        <f t="shared" si="15"/>
        <v>147</v>
      </c>
      <c r="X57" s="33">
        <v>0</v>
      </c>
      <c r="Y57" s="37">
        <f t="shared" si="16"/>
        <v>147</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8" t="s">
        <v>433</v>
      </c>
      <c r="B59" s="288"/>
      <c r="C59" s="288"/>
      <c r="D59" s="288"/>
      <c r="E59" s="288"/>
      <c r="F59" s="288"/>
      <c r="G59" s="8">
        <v>51</v>
      </c>
      <c r="H59" s="36">
        <f>SUM(H39:H58)</f>
        <v>92387953</v>
      </c>
      <c r="I59" s="36">
        <f t="shared" ref="I59:Y59" si="17">SUM(I39:I58)</f>
        <v>0</v>
      </c>
      <c r="J59" s="36">
        <f t="shared" si="17"/>
        <v>0</v>
      </c>
      <c r="K59" s="36">
        <f t="shared" si="17"/>
        <v>0</v>
      </c>
      <c r="L59" s="36">
        <f t="shared" si="17"/>
        <v>0</v>
      </c>
      <c r="M59" s="36">
        <f t="shared" si="17"/>
        <v>0</v>
      </c>
      <c r="N59" s="36">
        <f t="shared" si="17"/>
        <v>545705</v>
      </c>
      <c r="O59" s="36">
        <f t="shared" si="17"/>
        <v>7654287</v>
      </c>
      <c r="P59" s="36">
        <f t="shared" si="17"/>
        <v>0</v>
      </c>
      <c r="Q59" s="36">
        <f t="shared" si="17"/>
        <v>0</v>
      </c>
      <c r="R59" s="36">
        <f t="shared" si="17"/>
        <v>0</v>
      </c>
      <c r="S59" s="36">
        <f t="shared" si="17"/>
        <v>0</v>
      </c>
      <c r="T59" s="36">
        <f t="shared" si="17"/>
        <v>0</v>
      </c>
      <c r="U59" s="36">
        <f t="shared" si="17"/>
        <v>-97633751</v>
      </c>
      <c r="V59" s="36">
        <f t="shared" si="17"/>
        <v>-17837382</v>
      </c>
      <c r="W59" s="36">
        <f t="shared" si="17"/>
        <v>-14883188</v>
      </c>
      <c r="X59" s="36">
        <f t="shared" si="17"/>
        <v>0</v>
      </c>
      <c r="Y59" s="36">
        <f t="shared" si="17"/>
        <v>-14883188</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434</v>
      </c>
      <c r="B61" s="291"/>
      <c r="C61" s="291"/>
      <c r="D61" s="291"/>
      <c r="E61" s="291"/>
      <c r="F61" s="291"/>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638254</v>
      </c>
      <c r="P61" s="37">
        <f t="shared" si="18"/>
        <v>0</v>
      </c>
      <c r="Q61" s="37">
        <f t="shared" si="18"/>
        <v>0</v>
      </c>
      <c r="R61" s="37">
        <f t="shared" si="18"/>
        <v>0</v>
      </c>
      <c r="S61" s="37">
        <f t="shared" ref="S61:T61" si="19">SUM(S41:S49)</f>
        <v>0</v>
      </c>
      <c r="T61" s="37">
        <f t="shared" si="19"/>
        <v>0</v>
      </c>
      <c r="U61" s="37">
        <f t="shared" si="18"/>
        <v>0</v>
      </c>
      <c r="V61" s="37">
        <f t="shared" si="18"/>
        <v>0</v>
      </c>
      <c r="W61" s="37">
        <f t="shared" si="18"/>
        <v>638254</v>
      </c>
      <c r="X61" s="37">
        <f t="shared" si="18"/>
        <v>0</v>
      </c>
      <c r="Y61" s="37">
        <f t="shared" si="18"/>
        <v>638254</v>
      </c>
    </row>
    <row r="62" spans="1:25" ht="27.75" customHeight="1" x14ac:dyDescent="0.2">
      <c r="A62" s="291" t="s">
        <v>435</v>
      </c>
      <c r="B62" s="291"/>
      <c r="C62" s="291"/>
      <c r="D62" s="291"/>
      <c r="E62" s="291"/>
      <c r="F62" s="291"/>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638254</v>
      </c>
      <c r="P62" s="37">
        <f t="shared" si="20"/>
        <v>0</v>
      </c>
      <c r="Q62" s="37">
        <f t="shared" si="20"/>
        <v>0</v>
      </c>
      <c r="R62" s="37">
        <f t="shared" si="20"/>
        <v>0</v>
      </c>
      <c r="S62" s="37">
        <f t="shared" ref="S62:T62" si="21">S40+S61</f>
        <v>0</v>
      </c>
      <c r="T62" s="37">
        <f t="shared" si="21"/>
        <v>0</v>
      </c>
      <c r="U62" s="37">
        <f t="shared" si="20"/>
        <v>0</v>
      </c>
      <c r="V62" s="37">
        <f t="shared" si="20"/>
        <v>-17837382</v>
      </c>
      <c r="W62" s="37">
        <f t="shared" si="20"/>
        <v>-17199128</v>
      </c>
      <c r="X62" s="37">
        <f t="shared" si="20"/>
        <v>0</v>
      </c>
      <c r="Y62" s="37">
        <f t="shared" si="20"/>
        <v>-17199128</v>
      </c>
    </row>
    <row r="63" spans="1:25" ht="29.25" customHeight="1" x14ac:dyDescent="0.2">
      <c r="A63" s="292" t="s">
        <v>436</v>
      </c>
      <c r="B63" s="292"/>
      <c r="C63" s="292"/>
      <c r="D63" s="292"/>
      <c r="E63" s="292"/>
      <c r="F63" s="292"/>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-19394543</v>
      </c>
      <c r="V63" s="38">
        <f t="shared" si="22"/>
        <v>19394690</v>
      </c>
      <c r="W63" s="38">
        <f t="shared" si="22"/>
        <v>147</v>
      </c>
      <c r="X63" s="38">
        <f t="shared" si="22"/>
        <v>0</v>
      </c>
      <c r="Y63" s="38">
        <f t="shared" si="22"/>
        <v>147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AB39" sqref="AB39"/>
    </sheetView>
  </sheetViews>
  <sheetFormatPr defaultRowHeight="12.75" x14ac:dyDescent="0.2"/>
  <cols>
    <col min="9" max="9" width="35.7109375" customWidth="1"/>
  </cols>
  <sheetData>
    <row r="1" spans="1:9" x14ac:dyDescent="0.2">
      <c r="A1" s="294" t="s">
        <v>473</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Janušić Dijana</cp:lastModifiedBy>
  <cp:lastPrinted>2025-07-30T12:37:31Z</cp:lastPrinted>
  <dcterms:created xsi:type="dcterms:W3CDTF">2008-10-17T11:51:54Z</dcterms:created>
  <dcterms:modified xsi:type="dcterms:W3CDTF">2025-07-30T12:38:53Z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