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aveExternalLinkValues="0" codeName="ThisWorkbook" defaultThemeVersion="124226"/>
  <mc:AlternateContent xmlns:mc="http://schemas.openxmlformats.org/markup-compatibility/2006">
    <mc:Choice Requires="x15">
      <x15ac:absPath xmlns:x15ac="http://schemas.microsoft.com/office/spreadsheetml/2010/11/ac" url="Y:\JAVNA OBJAVA\2024 JAVNA OBJAVA ZTK\4.kvartal 2024\1-12 GRUPA\"/>
    </mc:Choice>
  </mc:AlternateContent>
  <xr:revisionPtr revIDLastSave="0" documentId="13_ncr:1_{CD89DED8-86B4-4035-B3C9-8CEB90CE4B6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6" l="1"/>
  <c r="I36" i="26"/>
  <c r="V40" i="22"/>
  <c r="O42" i="22"/>
  <c r="K97" i="26"/>
  <c r="K92" i="26"/>
  <c r="V11" i="22" l="1"/>
  <c r="U28" i="22"/>
  <c r="C29" i="25"/>
  <c r="K65" i="26"/>
  <c r="K32" i="26"/>
  <c r="K35" i="26"/>
  <c r="K47" i="26" l="1"/>
  <c r="K30" i="26"/>
  <c r="H106" i="26"/>
  <c r="H86" i="26"/>
  <c r="I65" i="26"/>
  <c r="I31" i="26"/>
  <c r="I32" i="26"/>
  <c r="I33" i="26"/>
  <c r="I34" i="26"/>
  <c r="I35" i="26"/>
  <c r="I30" i="26"/>
  <c r="I106" i="26" l="1"/>
  <c r="K52" i="26"/>
  <c r="K51" i="26"/>
  <c r="K49" i="26"/>
  <c r="K45" i="26"/>
  <c r="K44" i="26"/>
  <c r="K36" i="26"/>
  <c r="K25" i="26"/>
  <c r="K24" i="26"/>
  <c r="K23" i="26"/>
  <c r="K22" i="26"/>
  <c r="K21" i="26"/>
  <c r="I55" i="26"/>
  <c r="I52" i="26"/>
  <c r="I51" i="26"/>
  <c r="I49" i="26"/>
  <c r="I45" i="26"/>
  <c r="I44" i="26"/>
  <c r="I24" i="26"/>
  <c r="I23" i="26"/>
  <c r="I22" i="26"/>
  <c r="I21" i="26"/>
  <c r="K19" i="26"/>
  <c r="I19" i="26"/>
  <c r="I17" i="26"/>
  <c r="I13" i="26"/>
  <c r="I10" i="26"/>
  <c r="K17" i="26"/>
  <c r="K13" i="26"/>
  <c r="K10" i="26"/>
  <c r="O36" i="22"/>
  <c r="K106" i="26"/>
  <c r="K28" i="26"/>
  <c r="I28" i="26"/>
  <c r="P43" i="22"/>
  <c r="U57" i="22"/>
  <c r="N57" i="22" l="1"/>
  <c r="N36" i="22"/>
  <c r="I105" i="18"/>
  <c r="I11" i="26"/>
  <c r="I12" i="26"/>
  <c r="K41" i="26" l="1"/>
  <c r="P36" i="22" l="1"/>
  <c r="I36" i="22"/>
  <c r="H54" i="22" s="1"/>
  <c r="H36" i="22"/>
  <c r="Q15" i="22"/>
  <c r="I91" i="18"/>
  <c r="I54" i="22"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9"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6" i="26" s="1"/>
  <c r="I63" i="26"/>
  <c r="K63" i="26"/>
  <c r="J64" i="26"/>
  <c r="K64" i="26"/>
  <c r="J62" i="26"/>
  <c r="J63" i="26"/>
  <c r="H63" i="26"/>
  <c r="K62" i="26"/>
  <c r="K66" i="26" s="1"/>
  <c r="H62" i="26"/>
  <c r="H64" i="26"/>
  <c r="I51" i="21"/>
  <c r="I53" i="21" s="1"/>
  <c r="H51" i="21"/>
  <c r="H53" i="21" s="1"/>
  <c r="K86" i="26" l="1"/>
  <c r="H68" i="26"/>
  <c r="W11" i="22" s="1"/>
  <c r="J67" i="26"/>
  <c r="W40" i="22"/>
  <c r="I67" i="26"/>
  <c r="I68" i="26"/>
  <c r="J66" i="26"/>
  <c r="J68" i="26"/>
  <c r="K67" i="26"/>
  <c r="K68" i="26"/>
  <c r="H66" i="26"/>
  <c r="H67" i="26"/>
  <c r="I85" i="18"/>
  <c r="H85" i="18"/>
  <c r="J86" i="26" l="1"/>
  <c r="K85" i="26"/>
  <c r="K89" i="26"/>
  <c r="K109" i="26" s="1"/>
  <c r="K112" i="26" s="1"/>
  <c r="I85" i="26"/>
  <c r="I89" i="26"/>
  <c r="I109" i="26" s="1"/>
  <c r="I112" i="26" s="1"/>
  <c r="I111" i="26" s="1"/>
  <c r="I78" i="18"/>
  <c r="H78" i="18"/>
  <c r="J89" i="26" l="1"/>
  <c r="J109" i="26" s="1"/>
  <c r="J85" i="26"/>
  <c r="H89" i="26"/>
  <c r="H109" i="26" s="1"/>
  <c r="H112" i="26" s="1"/>
  <c r="H111" i="26" s="1"/>
  <c r="H85" i="26"/>
  <c r="K111" i="26"/>
  <c r="H54" i="20"/>
  <c r="H48" i="20"/>
  <c r="H41" i="20"/>
  <c r="H35" i="20"/>
  <c r="H19" i="20"/>
  <c r="I9" i="20"/>
  <c r="H117" i="18"/>
  <c r="H105" i="18"/>
  <c r="H98" i="18"/>
  <c r="H94" i="18"/>
  <c r="V36" i="22" s="1"/>
  <c r="H91" i="18"/>
  <c r="U36" i="22" s="1"/>
  <c r="H60" i="18"/>
  <c r="H53" i="18"/>
  <c r="H45" i="18"/>
  <c r="H38" i="18"/>
  <c r="H27" i="18"/>
  <c r="H17" i="18"/>
  <c r="H10" i="18"/>
  <c r="H63" i="22"/>
  <c r="H61" i="22"/>
  <c r="H62" i="22" s="1"/>
  <c r="H39" i="22"/>
  <c r="H59" i="22" s="1"/>
  <c r="H34" i="22"/>
  <c r="H32" i="22"/>
  <c r="H33" i="22" s="1"/>
  <c r="K10" i="22"/>
  <c r="J112" i="26" l="1"/>
  <c r="J111" i="26" s="1"/>
  <c r="V57" i="22"/>
  <c r="W36" i="22"/>
  <c r="Y36" i="22" s="1"/>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7" i="22"/>
  <c r="Y26" i="22"/>
  <c r="Y24" i="22"/>
  <c r="Y23" i="22"/>
  <c r="Y22" i="22"/>
  <c r="Y21" i="22"/>
  <c r="Y20" i="22"/>
  <c r="Y19" i="22"/>
  <c r="Y18" i="22"/>
  <c r="Y17" i="22"/>
  <c r="Y16" i="22"/>
  <c r="Y15" i="22"/>
  <c r="Y14" i="22"/>
  <c r="Y13" i="22"/>
  <c r="Y12" i="22"/>
  <c r="Y11" i="22"/>
  <c r="X10" i="22"/>
  <c r="X30" i="22" s="1"/>
  <c r="V10" i="22"/>
  <c r="U10" i="22"/>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98" i="18"/>
  <c r="I94" i="18"/>
  <c r="I60" i="18"/>
  <c r="I53" i="18"/>
  <c r="I45" i="18"/>
  <c r="I38" i="18"/>
  <c r="I27" i="18"/>
  <c r="I17" i="18"/>
  <c r="I10" i="18"/>
  <c r="H57" i="20" l="1"/>
  <c r="H59" i="20" s="1"/>
  <c r="W57" i="22"/>
  <c r="Y57" i="22" s="1"/>
  <c r="Y63" i="22" s="1"/>
  <c r="U30" i="22"/>
  <c r="I24" i="20"/>
  <c r="I27" i="20" s="1"/>
  <c r="I55" i="20"/>
  <c r="H72" i="18"/>
  <c r="I44" i="18"/>
  <c r="I75" i="18"/>
  <c r="I9" i="18"/>
  <c r="I42" i="20"/>
  <c r="Y61" i="22"/>
  <c r="Y62" i="22" s="1"/>
  <c r="W61" i="22"/>
  <c r="W62" i="22" s="1"/>
  <c r="Y32" i="22"/>
  <c r="Y33" i="22" s="1"/>
  <c r="W32" i="22"/>
  <c r="W33" i="22" s="1"/>
  <c r="Y39" i="22"/>
  <c r="W39" i="22"/>
  <c r="Y10" i="22"/>
  <c r="W10" i="22"/>
  <c r="W59" i="22" l="1"/>
  <c r="W63" i="22"/>
  <c r="Y59" i="22"/>
  <c r="W28" i="22"/>
  <c r="U34" i="22"/>
  <c r="I57" i="20"/>
  <c r="I59" i="20" s="1"/>
  <c r="I72" i="18"/>
  <c r="I117" i="18"/>
  <c r="I133" i="18" s="1"/>
  <c r="Y28" i="22" l="1"/>
  <c r="W34" i="22"/>
  <c r="V34" i="22"/>
  <c r="V30" i="22"/>
  <c r="W30" i="22"/>
  <c r="Y34" i="22" l="1"/>
  <c r="Y30" i="22"/>
</calcChain>
</file>

<file path=xl/sharedStrings.xml><?xml version="1.0" encoding="utf-8"?>
<sst xmlns="http://schemas.openxmlformats.org/spreadsheetml/2006/main" count="540" uniqueCount="475">
  <si>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</si>
  <si>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</si>
  <si>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</si>
  <si>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</si>
  <si>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</si>
  <si>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</si>
  <si>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</si>
  <si>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</si>
  <si>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</si>
  <si>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</si>
  <si>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</si>
  <si>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</si>
  <si>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</si>
  <si>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</si>
  <si>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</si>
  <si>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</si>
  <si>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</si>
  <si>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</si>
  <si>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</si>
  <si>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</si>
  <si>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</si>
  <si>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</si>
  <si>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</si>
  <si>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</si>
  <si>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</si>
  <si>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</si>
  <si>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</si>
  <si>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</si>
  <si>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</si>
  <si>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</si>
  <si>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</si>
  <si>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</si>
  <si>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</si>
  <si>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</si>
  <si>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</si>
  <si>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</si>
  <si>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</si>
  <si>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</si>
  <si>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</si>
  <si>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</si>
  <si>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</si>
  <si>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</si>
  <si>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</si>
  <si>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</si>
  <si>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</si>
  <si>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</si>
  <si>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</si>
  <si>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</si>
  <si>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</si>
  <si>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</si>
  <si>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</si>
  <si>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</si>
  <si>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</si>
  <si>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</si>
  <si>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</si>
  <si>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</si>
  <si>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</si>
  <si>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</si>
  <si>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</si>
  <si>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</si>
  <si>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</si>
  <si>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</si>
  <si>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</si>
  <si>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</si>
  <si>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</si>
  <si>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</si>
  <si>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</si>
  <si>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</si>
  <si>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</si>
  <si>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</si>
  <si>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</si>
  <si>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</si>
  <si>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</si>
  <si>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</si>
  <si>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</si>
  <si>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</si>
  <si>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</si>
  <si>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</si>
  <si>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</si>
  <si>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</si>
  <si>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</si>
  <si>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</si>
  <si>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</si>
  <si>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</si>
  <si>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</si>
  <si>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</si>
  <si>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</si>
  <si>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</si>
  <si>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</si>
  <si>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</si>
  <si>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</si>
  <si>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</si>
  <si>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</si>
  <si>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</si>
  <si>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</si>
  <si>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</si>
  <si>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</si>
  <si>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</si>
  <si>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</si>
  <si>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</si>
  <si>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</si>
  <si>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</si>
  <si>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</si>
  <si>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</si>
  <si>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</si>
  <si>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</si>
  <si>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</si>
  <si>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</si>
  <si>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</si>
  <si>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</si>
  <si>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</si>
  <si>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</si>
  <si>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</si>
  <si>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</si>
  <si>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</si>
  <si>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</si>
  <si>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</si>
  <si>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</si>
  <si>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</si>
  <si>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</si>
  <si>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</si>
  <si>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</si>
  <si>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</si>
  <si>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</si>
  <si>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</si>
  <si>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</si>
  <si>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</si>
  <si>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</si>
  <si>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</si>
  <si>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</si>
  <si>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</si>
  <si>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</si>
  <si>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</si>
  <si>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</si>
  <si>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</si>
  <si>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</si>
  <si>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</si>
  <si>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</si>
  <si>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</si>
  <si>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</si>
  <si>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</si>
  <si>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</si>
  <si>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</si>
  <si>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</si>
  <si>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</si>
  <si>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</si>
  <si>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</si>
  <si>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</si>
  <si>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</si>
  <si>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</si>
  <si>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</si>
  <si>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</si>
  <si>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</si>
  <si>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</si>
  <si>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</si>
  <si>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</si>
  <si>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</si>
  <si>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</si>
  <si>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</si>
  <si>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</si>
  <si>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</si>
  <si>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</si>
  <si>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</si>
  <si>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</si>
  <si>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</si>
  <si>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</si>
  <si>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</si>
  <si>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</si>
  <si>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</si>
  <si>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</si>
  <si>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</si>
  <si>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</si>
  <si>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</si>
  <si>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</si>
  <si>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</si>
  <si>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</si>
  <si>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</si>
  <si>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</si>
  <si>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</si>
  <si>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</si>
  <si>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</si>
  <si>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</si>
  <si>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</si>
  <si>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</si>
  <si>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</si>
  <si>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</si>
  <si>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</si>
  <si>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</si>
  <si>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</si>
  <si>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</si>
  <si>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</si>
  <si>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</si>
  <si>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</si>
  <si>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</si>
  <si>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</si>
  <si>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</si>
  <si>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</si>
  <si>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</si>
  <si>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</si>
  <si>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</si>
  <si>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</si>
  <si>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</si>
  <si>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</si>
  <si>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</si>
  <si>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</si>
  <si>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</si>
  <si>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</si>
  <si>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</si>
  <si>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</si>
  <si>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</si>
  <si>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</si>
  <si>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</si>
  <si>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</si>
  <si>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</si>
  <si>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</si>
  <si>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</si>
  <si>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</si>
  <si>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</si>
  <si>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</si>
  <si>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</si>
  <si>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</si>
  <si>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</si>
  <si>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</si>
  <si>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</si>
  <si>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</si>
  <si>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</si>
  <si>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</si>
  <si>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</si>
  <si>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</si>
  <si>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</si>
  <si>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</si>
  <si>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</si>
  <si>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</si>
  <si>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</si>
  <si>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</si>
  <si>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</si>
  <si>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</si>
  <si>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</si>
  <si>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</si>
  <si>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</si>
  <si>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</si>
  <si>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</si>
  <si>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</si>
  <si>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</si>
  <si>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</si>
  <si>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</si>
  <si>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</si>
  <si>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</si>
  <si>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</si>
  <si>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</si>
  <si>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</si>
  <si>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</si>
  <si>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</si>
  <si>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</si>
  <si>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</si>
  <si>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</si>
  <si>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</si>
  <si>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</si>
  <si>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</si>
  <si>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</si>
  <si>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</si>
  <si>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</si>
  <si>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</si>
  <si>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</si>
  <si>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</si>
  <si>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</si>
  <si>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</si>
  <si>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</si>
  <si>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</si>
  <si>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</si>
  <si>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</si>
  <si>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</si>
  <si>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</si>
  <si>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</si>
  <si>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</si>
  <si>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</si>
  <si>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</si>
  <si>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</si>
  <si>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</si>
  <si>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</si>
  <si>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</si>
  <si>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</si>
  <si>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</si>
  <si>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</si>
  <si>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</si>
  <si>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</si>
  <si>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</si>
  <si>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</si>
  <si>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</si>
  <si>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</si>
  <si>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</si>
  <si>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</si>
  <si>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</si>
  <si>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</si>
  <si>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</si>
  <si>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</si>
  <si>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</si>
  <si>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</si>
  <si>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</si>
  <si>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</si>
  <si>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</si>
  <si>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</si>
  <si>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</si>
  <si>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</si>
  <si>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</si>
  <si>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</si>
  <si>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</si>
  <si>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</si>
  <si>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</si>
  <si>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</si>
  <si>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</si>
  <si>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</si>
  <si>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</si>
  <si>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</si>
  <si>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</si>
  <si>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</si>
  <si>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</si>
  <si>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</si>
  <si>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</si>
  <si>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</si>
  <si>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</si>
  <si>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</si>
  <si>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</si>
  <si>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</si>
  <si>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</si>
  <si>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</si>
  <si>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</si>
  <si>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</si>
  <si>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</si>
  <si>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</si>
  <si>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</si>
  <si>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</si>
  <si>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</si>
  <si>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</si>
  <si>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</si>
  <si>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</si>
  <si>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</si>
  <si>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</si>
  <si>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</si>
  <si>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</si>
  <si>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</si>
  <si>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</si>
  <si>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</si>
  <si>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</si>
  <si>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</si>
  <si>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</si>
  <si>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</si>
  <si>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</si>
  <si>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</si>
  <si>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</si>
  <si>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</si>
  <si>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</si>
  <si>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</si>
  <si>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</si>
  <si>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</si>
  <si>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</si>
  <si>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</si>
  <si>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</si>
  <si>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</si>
  <si>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</si>
  <si>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</si>
  <si>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</si>
  <si>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</si>
  <si>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</si>
  <si>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</si>
  <si>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</si>
  <si>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</si>
  <si>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</si>
  <si>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</si>
  <si>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</si>
  <si>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</si>
  <si>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</si>
  <si>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</si>
  <si>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</si>
  <si>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</si>
  <si>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</si>
  <si>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</si>
  <si>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</si>
  <si>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</si>
  <si>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</si>
  <si>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</si>
  <si>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</si>
  <si>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</si>
  <si>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</si>
  <si>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</si>
  <si>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</si>
  <si>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</si>
  <si>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</si>
  <si>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</si>
  <si>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</si>
  <si>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</si>
  <si>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</si>
  <si>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</si>
  <si>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</si>
  <si>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</si>
  <si>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</si>
  <si>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</si>
  <si>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</si>
  <si>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</si>
  <si>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</si>
  <si>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</si>
  <si>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</si>
  <si>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</si>
  <si>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</si>
  <si>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</si>
  <si>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</si>
  <si>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</si>
  <si>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</si>
  <si>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</si>
  <si>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</si>
  <si>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</si>
  <si>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</si>
  <si>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</si>
  <si>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</si>
  <si>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</si>
  <si>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</si>
  <si>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</si>
  <si>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</si>
  <si>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</si>
  <si>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</si>
  <si>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</si>
  <si>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</si>
  <si>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</si>
  <si>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</si>
  <si>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</si>
  <si>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</si>
  <si>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</si>
  <si>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</si>
  <si>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</si>
  <si>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</si>
  <si>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</si>
  <si>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</si>
  <si>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</si>
  <si>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</si>
  <si>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</si>
  <si>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</si>
  <si>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</si>
  <si>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</si>
  <si>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</si>
  <si>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</si>
  <si>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</si>
  <si>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</si>
  <si>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</si>
  <si>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</si>
  <si>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</si>
  <si>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</si>
  <si>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</si>
  <si>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</si>
  <si>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</si>
  <si>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</si>
  <si>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HR</t>
  </si>
  <si>
    <t>080037012</t>
  </si>
  <si>
    <t>24640993045</t>
  </si>
  <si>
    <t>74780000B0QHXQ0LQw20</t>
  </si>
  <si>
    <t>637</t>
  </si>
  <si>
    <t>CROATIA AIRLINES d.d.</t>
  </si>
  <si>
    <t>ZAGREB</t>
  </si>
  <si>
    <t>BANI 75 b</t>
  </si>
  <si>
    <t>uprava@croatiaairlines.hr</t>
  </si>
  <si>
    <t>www.croatiaairlines.hr</t>
  </si>
  <si>
    <t>DIJANA JANUŠIĆ</t>
  </si>
  <si>
    <t>01/6160049</t>
  </si>
  <si>
    <t>dijana.janusic@croatiaairlines.hr</t>
  </si>
  <si>
    <t>AMADEUS CROATIA d.d.</t>
  </si>
  <si>
    <t>OBZOR PUTOVANJA d.o.o</t>
  </si>
  <si>
    <t>Zagreb, Teslina ulica 5</t>
  </si>
  <si>
    <t>BDO CROATIA d.o.o</t>
  </si>
  <si>
    <t>VEDRANA STIPIĆ</t>
  </si>
  <si>
    <t>Obveznik:  CROATIA AIRLINES GRUPA</t>
  </si>
  <si>
    <t>Obveznik: CROATIA AIRLINES GRUPA</t>
  </si>
  <si>
    <t>u razdoblju 01.01.2024 do 31.12.2024</t>
  </si>
  <si>
    <t>stanje na dan 31.12.2024</t>
  </si>
  <si>
    <t>u razdoblju 1.1.2024 do 31.12.2024</t>
  </si>
  <si>
    <t>Zagreb, Božidara Adžije 19</t>
  </si>
  <si>
    <t xml:space="preserve">BILJEŠKE UZ FINANCIJSKE IZVJEŠTAJE - TFI
(koji se sastavljaju za tromjesečna razdoblja)
Naziv izdavatelja:   CROATIA AIRLINES GRUPA
OIB:   24640993045
Izvještajno razdoblje: siječanj-prosinac (preliminarni izvještaji)
U 2024. godini obilježeno je 35 godina od osnivanja Croatia Airlinesa, hrvatskog nacionalnog zračnog prijevoznika koji je tijekom svojeg postojanja ostvario značajan doprinos razvoju zračnog prometa na hrvatskom zrakoplovnom tržištu što ga je učinilo ključnim faktorom u povezivanju Hrvatske s ostalim dijelovima Europe i svijeta. 
Obnova flote nacionalnog avioprijevoznika označava novo razdoblje poslovanja, a tijekom 2024. godine intenzivno su se odvijale aktivnosti vezane za prihvat prva dva nova zrakoplova Airbus A220 u flotu. Dana 30. srpnja 2024. godine Croatia Airlines je dočekao prvi A220 zrakoplov, a 20. prosinca 2024. godine stigao je i drugi Airbus A220 zrakoplov, čime je započela obnova cjelokupne flote novim i tehnološki naprednijim zrakoplovima u tržišnom segmentu od 100 do 150 sjedala. 
Tranzicijsko razdoblje prelaska na novu flotu koje je operativno započelo u 2024. godini značit će povećanu troškovnu izloženost svih operativnih dijelova kompanije do završetka zamjene flote.
U 2024. godini Croatia Airlines nastavio je s povećanjem frekvencija i uvođenjem novih ruta što je dovelo do rasta naleta u broju letova za 2 posto u odnosu na 2023. godinu te rasta broja prevezenih putnika. Ukupno je prevezeno 1.838.609 putnika što je 6 posto više u odnosu na 2023. godinu. U 2024. godini ostvaren je operativni gubitak u visini od 16 milijuna EUR, a nakon uključivanja neto rezultata financiranja gubitak iznosi 19,6 milijuna EUR.
Razdoblje investicijskog ciklusa zamjene flote zrakoplova koje je započelo u 2024. godini karakteriziraju operativni i financijski izazovi tranzicijskog razdoblja te je kompanija za razdoblje tranzicije planirala negativne financijske rezultate. Navedeni izazovi tranzicijskog razdoblja i značajna troškovna izloženost proizašla iz okolnosti na koje Croatia Airlines većinom nije mogao utjecati odrazila se ostvarene poslovne rezultate kompanije u 2024. godini.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</si>
</sst>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B0DBC6E6-66C2-49C2-8A21-91E2A0FF6C7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15" workbookViewId="0">
      <selection activeCell="P11" sqref="P1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45657</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f>943+6+18</f>
        <v>967</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463</v>
      </c>
      <c r="B37" s="149"/>
      <c r="C37" s="149"/>
      <c r="D37" s="149"/>
      <c r="E37" s="148" t="s">
        <v>473</v>
      </c>
      <c r="F37" s="149"/>
      <c r="G37" s="149"/>
      <c r="H37" s="149"/>
      <c r="I37" s="150"/>
      <c r="J37" s="76">
        <v>48576</v>
      </c>
    </row>
    <row r="38" spans="1:10" x14ac:dyDescent="0.25">
      <c r="A38" s="98"/>
      <c r="B38" s="77"/>
      <c r="C38" s="105"/>
      <c r="D38" s="151"/>
      <c r="E38" s="151"/>
      <c r="F38" s="151"/>
      <c r="G38" s="151"/>
      <c r="H38" s="151"/>
      <c r="I38" s="151"/>
      <c r="J38" s="100"/>
    </row>
    <row r="39" spans="1:10" x14ac:dyDescent="0.25">
      <c r="A39" s="148" t="s">
        <v>464</v>
      </c>
      <c r="B39" s="149"/>
      <c r="C39" s="149"/>
      <c r="D39" s="150"/>
      <c r="E39" s="148" t="s">
        <v>465</v>
      </c>
      <c r="F39" s="149"/>
      <c r="G39" s="149"/>
      <c r="H39" s="149"/>
      <c r="I39" s="150"/>
      <c r="J39" s="44">
        <v>490555</v>
      </c>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466</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467</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0" zoomScaleNormal="100" zoomScaleSheetLayoutView="110" workbookViewId="0">
      <selection activeCell="A74" sqref="A74:I13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471</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114283038</v>
      </c>
      <c r="I9" s="120">
        <f>I10+I17+I27+I38+I43</f>
        <v>193143906</v>
      </c>
    </row>
    <row r="10" spans="1:9" ht="12.75" customHeight="1" x14ac:dyDescent="0.2">
      <c r="A10" s="186" t="s">
        <v>5</v>
      </c>
      <c r="B10" s="186"/>
      <c r="C10" s="186"/>
      <c r="D10" s="186"/>
      <c r="E10" s="186"/>
      <c r="F10" s="186"/>
      <c r="G10" s="12">
        <v>3</v>
      </c>
      <c r="H10" s="120">
        <f>H11+H12+H13+H14+H15+H16</f>
        <v>776679</v>
      </c>
      <c r="I10" s="120">
        <f>I11+I12+I13+I14+I15+I16</f>
        <v>1493696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285091</v>
      </c>
      <c r="I12" s="18">
        <v>453834</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445881</v>
      </c>
      <c r="I15" s="18">
        <v>747990</v>
      </c>
    </row>
    <row r="16" spans="1:9" ht="12.75" customHeight="1" x14ac:dyDescent="0.2">
      <c r="A16" s="182" t="s">
        <v>11</v>
      </c>
      <c r="B16" s="182"/>
      <c r="C16" s="182"/>
      <c r="D16" s="182"/>
      <c r="E16" s="182"/>
      <c r="F16" s="182"/>
      <c r="G16" s="11">
        <v>9</v>
      </c>
      <c r="H16" s="18">
        <v>45707</v>
      </c>
      <c r="I16" s="18">
        <v>291872</v>
      </c>
    </row>
    <row r="17" spans="1:9" ht="12.75" customHeight="1" x14ac:dyDescent="0.2">
      <c r="A17" s="186" t="s">
        <v>12</v>
      </c>
      <c r="B17" s="186"/>
      <c r="C17" s="186"/>
      <c r="D17" s="186"/>
      <c r="E17" s="186"/>
      <c r="F17" s="186"/>
      <c r="G17" s="12">
        <v>10</v>
      </c>
      <c r="H17" s="120">
        <f>H18+H19+H20+H21+H22+H23+H24+H25+H26</f>
        <v>54915374</v>
      </c>
      <c r="I17" s="120">
        <f>I18+I19+I20+I21+I22+I23+I24+I25+I26</f>
        <v>125443087</v>
      </c>
    </row>
    <row r="18" spans="1:9" ht="12.75" customHeight="1" x14ac:dyDescent="0.2">
      <c r="A18" s="182" t="s">
        <v>13</v>
      </c>
      <c r="B18" s="182"/>
      <c r="C18" s="182"/>
      <c r="D18" s="182"/>
      <c r="E18" s="182"/>
      <c r="F18" s="182"/>
      <c r="G18" s="11">
        <v>11</v>
      </c>
      <c r="H18" s="18">
        <v>2621659</v>
      </c>
      <c r="I18" s="18">
        <v>2621659</v>
      </c>
    </row>
    <row r="19" spans="1:9" ht="12.75" customHeight="1" x14ac:dyDescent="0.2">
      <c r="A19" s="182" t="s">
        <v>14</v>
      </c>
      <c r="B19" s="182"/>
      <c r="C19" s="182"/>
      <c r="D19" s="182"/>
      <c r="E19" s="182"/>
      <c r="F19" s="182"/>
      <c r="G19" s="11">
        <v>12</v>
      </c>
      <c r="H19" s="18">
        <v>3413286</v>
      </c>
      <c r="I19" s="18">
        <v>4103327</v>
      </c>
    </row>
    <row r="20" spans="1:9" ht="12.75" customHeight="1" x14ac:dyDescent="0.2">
      <c r="A20" s="182" t="s">
        <v>15</v>
      </c>
      <c r="B20" s="182"/>
      <c r="C20" s="182"/>
      <c r="D20" s="182"/>
      <c r="E20" s="182"/>
      <c r="F20" s="182"/>
      <c r="G20" s="11">
        <v>13</v>
      </c>
      <c r="H20" s="18">
        <v>6487668</v>
      </c>
      <c r="I20" s="18">
        <v>30615511</v>
      </c>
    </row>
    <row r="21" spans="1:9" ht="12.75" customHeight="1" x14ac:dyDescent="0.2">
      <c r="A21" s="182" t="s">
        <v>16</v>
      </c>
      <c r="B21" s="182"/>
      <c r="C21" s="182"/>
      <c r="D21" s="182"/>
      <c r="E21" s="182"/>
      <c r="F21" s="182"/>
      <c r="G21" s="11">
        <v>14</v>
      </c>
      <c r="H21" s="18">
        <v>37415969</v>
      </c>
      <c r="I21" s="18">
        <v>81869088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2327074</v>
      </c>
      <c r="I23" s="18">
        <v>994610</v>
      </c>
    </row>
    <row r="24" spans="1:9" ht="12.75" customHeight="1" x14ac:dyDescent="0.2">
      <c r="A24" s="182" t="s">
        <v>19</v>
      </c>
      <c r="B24" s="182"/>
      <c r="C24" s="182"/>
      <c r="D24" s="182"/>
      <c r="E24" s="182"/>
      <c r="F24" s="182"/>
      <c r="G24" s="11">
        <v>17</v>
      </c>
      <c r="H24" s="18">
        <v>43161</v>
      </c>
      <c r="I24" s="18">
        <v>0</v>
      </c>
    </row>
    <row r="25" spans="1:9" ht="12.75" customHeight="1" x14ac:dyDescent="0.2">
      <c r="A25" s="182" t="s">
        <v>20</v>
      </c>
      <c r="B25" s="182"/>
      <c r="C25" s="182"/>
      <c r="D25" s="182"/>
      <c r="E25" s="182"/>
      <c r="F25" s="182"/>
      <c r="G25" s="11">
        <v>18</v>
      </c>
      <c r="H25" s="18">
        <v>2606557</v>
      </c>
      <c r="I25" s="18">
        <v>5238892</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12408328</v>
      </c>
      <c r="I27" s="120">
        <f>SUM(I28:I37)</f>
        <v>13499614</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25000</v>
      </c>
      <c r="I34" s="18">
        <v>25000</v>
      </c>
    </row>
    <row r="35" spans="1:9" ht="12.75" customHeight="1" x14ac:dyDescent="0.2">
      <c r="A35" s="182" t="s">
        <v>30</v>
      </c>
      <c r="B35" s="182"/>
      <c r="C35" s="182"/>
      <c r="D35" s="182"/>
      <c r="E35" s="182"/>
      <c r="F35" s="182"/>
      <c r="G35" s="11">
        <v>28</v>
      </c>
      <c r="H35" s="18">
        <v>12383328</v>
      </c>
      <c r="I35" s="18">
        <v>13474614</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46182657</v>
      </c>
      <c r="I38" s="120">
        <f>I39+I40+I41+I42</f>
        <v>52707509</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46182657</v>
      </c>
      <c r="I42" s="18">
        <v>52707509</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111982102</v>
      </c>
      <c r="I44" s="120">
        <f>I45+I53+I60+I70</f>
        <v>78297713</v>
      </c>
    </row>
    <row r="45" spans="1:9" ht="12.75" customHeight="1" x14ac:dyDescent="0.2">
      <c r="A45" s="186" t="s">
        <v>39</v>
      </c>
      <c r="B45" s="186"/>
      <c r="C45" s="186"/>
      <c r="D45" s="186"/>
      <c r="E45" s="186"/>
      <c r="F45" s="186"/>
      <c r="G45" s="12">
        <v>38</v>
      </c>
      <c r="H45" s="120">
        <f>SUM(H46:H52)</f>
        <v>9891526</v>
      </c>
      <c r="I45" s="120">
        <f>SUM(I46:I52)</f>
        <v>11618566</v>
      </c>
    </row>
    <row r="46" spans="1:9" ht="12.75" customHeight="1" x14ac:dyDescent="0.2">
      <c r="A46" s="182" t="s">
        <v>40</v>
      </c>
      <c r="B46" s="182"/>
      <c r="C46" s="182"/>
      <c r="D46" s="182"/>
      <c r="E46" s="182"/>
      <c r="F46" s="182"/>
      <c r="G46" s="11">
        <v>39</v>
      </c>
      <c r="H46" s="18">
        <v>9602050</v>
      </c>
      <c r="I46" s="18">
        <v>11618566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289476</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18531327</v>
      </c>
      <c r="I53" s="120">
        <f>SUM(I54:I59)</f>
        <v>19932297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15374234</v>
      </c>
      <c r="I56" s="18">
        <v>14082763</v>
      </c>
    </row>
    <row r="57" spans="1:9" ht="12.75" customHeight="1" x14ac:dyDescent="0.2">
      <c r="A57" s="182" t="s">
        <v>51</v>
      </c>
      <c r="B57" s="182"/>
      <c r="C57" s="182"/>
      <c r="D57" s="182"/>
      <c r="E57" s="182"/>
      <c r="F57" s="182"/>
      <c r="G57" s="11">
        <v>50</v>
      </c>
      <c r="H57" s="18">
        <v>12491</v>
      </c>
      <c r="I57" s="18">
        <v>37283</v>
      </c>
    </row>
    <row r="58" spans="1:9" ht="12.75" customHeight="1" x14ac:dyDescent="0.2">
      <c r="A58" s="182" t="s">
        <v>52</v>
      </c>
      <c r="B58" s="182"/>
      <c r="C58" s="182"/>
      <c r="D58" s="182"/>
      <c r="E58" s="182"/>
      <c r="F58" s="182"/>
      <c r="G58" s="11">
        <v>51</v>
      </c>
      <c r="H58" s="18">
        <v>1618451</v>
      </c>
      <c r="I58" s="18">
        <v>4085539</v>
      </c>
    </row>
    <row r="59" spans="1:9" ht="12.75" customHeight="1" x14ac:dyDescent="0.2">
      <c r="A59" s="182" t="s">
        <v>53</v>
      </c>
      <c r="B59" s="182"/>
      <c r="C59" s="182"/>
      <c r="D59" s="182"/>
      <c r="E59" s="182"/>
      <c r="F59" s="182"/>
      <c r="G59" s="11">
        <v>52</v>
      </c>
      <c r="H59" s="18">
        <v>1526151</v>
      </c>
      <c r="I59" s="18">
        <v>1726712</v>
      </c>
    </row>
    <row r="60" spans="1:9" ht="12.75" customHeight="1" x14ac:dyDescent="0.2">
      <c r="A60" s="186" t="s">
        <v>54</v>
      </c>
      <c r="B60" s="186"/>
      <c r="C60" s="186"/>
      <c r="D60" s="186"/>
      <c r="E60" s="186"/>
      <c r="F60" s="186"/>
      <c r="G60" s="12">
        <v>53</v>
      </c>
      <c r="H60" s="120">
        <f>SUM(H61:H69)</f>
        <v>3646171</v>
      </c>
      <c r="I60" s="120">
        <f>SUM(I61:I69)</f>
        <v>1108803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25</v>
      </c>
      <c r="I67" s="18">
        <v>25</v>
      </c>
    </row>
    <row r="68" spans="1:9" ht="12.75" customHeight="1" x14ac:dyDescent="0.2">
      <c r="A68" s="182" t="s">
        <v>30</v>
      </c>
      <c r="B68" s="182"/>
      <c r="C68" s="182"/>
      <c r="D68" s="182"/>
      <c r="E68" s="182"/>
      <c r="F68" s="182"/>
      <c r="G68" s="11">
        <v>61</v>
      </c>
      <c r="H68" s="18">
        <v>3646146</v>
      </c>
      <c r="I68" s="18">
        <v>1108778</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79913078</v>
      </c>
      <c r="I70" s="18">
        <v>45638047</v>
      </c>
    </row>
    <row r="71" spans="1:9" ht="12.75" customHeight="1" x14ac:dyDescent="0.2">
      <c r="A71" s="183" t="s">
        <v>58</v>
      </c>
      <c r="B71" s="183"/>
      <c r="C71" s="183"/>
      <c r="D71" s="183"/>
      <c r="E71" s="183"/>
      <c r="F71" s="183"/>
      <c r="G71" s="11">
        <v>64</v>
      </c>
      <c r="H71" s="18">
        <v>1906709</v>
      </c>
      <c r="I71" s="18">
        <v>2852899</v>
      </c>
    </row>
    <row r="72" spans="1:9" ht="12.75" customHeight="1" x14ac:dyDescent="0.2">
      <c r="A72" s="184" t="s">
        <v>304</v>
      </c>
      <c r="B72" s="184"/>
      <c r="C72" s="184"/>
      <c r="D72" s="184"/>
      <c r="E72" s="184"/>
      <c r="F72" s="184"/>
      <c r="G72" s="12">
        <v>65</v>
      </c>
      <c r="H72" s="120">
        <f>H8+H9+H44+H71</f>
        <v>228171849</v>
      </c>
      <c r="I72" s="120">
        <f>I8+I9+I44+I71</f>
        <v>274294518</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15170130</v>
      </c>
      <c r="I75" s="121">
        <f>I76+I77+I78+I84+I85+I91+I94+I97</f>
        <v>3757303</v>
      </c>
    </row>
    <row r="76" spans="1:9" ht="12.75" customHeight="1" x14ac:dyDescent="0.2">
      <c r="A76" s="182" t="s">
        <v>61</v>
      </c>
      <c r="B76" s="182"/>
      <c r="C76" s="182"/>
      <c r="D76" s="182"/>
      <c r="E76" s="182"/>
      <c r="F76" s="182"/>
      <c r="G76" s="11">
        <v>68</v>
      </c>
      <c r="H76" s="18">
        <v>92387953</v>
      </c>
      <c r="I76" s="18">
        <v>92387953</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412157</v>
      </c>
      <c r="I78" s="121">
        <f>SUM(I79:I83)</f>
        <v>545707</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412157</v>
      </c>
      <c r="I83" s="18">
        <v>545707</v>
      </c>
    </row>
    <row r="84" spans="1:9" ht="12.75" customHeight="1" x14ac:dyDescent="0.2">
      <c r="A84" s="185" t="s">
        <v>69</v>
      </c>
      <c r="B84" s="185"/>
      <c r="C84" s="185"/>
      <c r="D84" s="185"/>
      <c r="E84" s="185"/>
      <c r="F84" s="185"/>
      <c r="G84" s="46">
        <v>76</v>
      </c>
      <c r="H84" s="47">
        <v>412184</v>
      </c>
      <c r="I84" s="47">
        <v>8465658</v>
      </c>
    </row>
    <row r="85" spans="1:9" ht="12.75" customHeight="1" x14ac:dyDescent="0.2">
      <c r="A85" s="186" t="s">
        <v>446</v>
      </c>
      <c r="B85" s="186"/>
      <c r="C85" s="186"/>
      <c r="D85" s="186"/>
      <c r="E85" s="186"/>
      <c r="F85" s="186"/>
      <c r="G85" s="12">
        <v>77</v>
      </c>
      <c r="H85" s="120">
        <f>H86+H87+H88+H89+H90</f>
        <v>63476</v>
      </c>
      <c r="I85" s="120">
        <f>I86+I87+I88+I89+I90</f>
        <v>0</v>
      </c>
    </row>
    <row r="86" spans="1:9" ht="25.5" customHeight="1" x14ac:dyDescent="0.2">
      <c r="A86" s="182" t="s">
        <v>447</v>
      </c>
      <c r="B86" s="182"/>
      <c r="C86" s="182"/>
      <c r="D86" s="182"/>
      <c r="E86" s="182"/>
      <c r="F86" s="182"/>
      <c r="G86" s="11">
        <v>78</v>
      </c>
      <c r="H86" s="18">
        <v>63476</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-80467432</v>
      </c>
      <c r="I91" s="120">
        <f>I92-I93</f>
        <v>-78239209</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80467432</v>
      </c>
      <c r="I93" s="18">
        <v>78239209</v>
      </c>
    </row>
    <row r="94" spans="1:9" ht="12.75" customHeight="1" x14ac:dyDescent="0.2">
      <c r="A94" s="186" t="s">
        <v>353</v>
      </c>
      <c r="B94" s="186"/>
      <c r="C94" s="186"/>
      <c r="D94" s="186"/>
      <c r="E94" s="186"/>
      <c r="F94" s="186"/>
      <c r="G94" s="12">
        <v>86</v>
      </c>
      <c r="H94" s="120">
        <f>H95-H96</f>
        <v>2361792</v>
      </c>
      <c r="I94" s="120">
        <f>I95-I96</f>
        <v>-19402806</v>
      </c>
    </row>
    <row r="95" spans="1:9" ht="12.75" customHeight="1" x14ac:dyDescent="0.2">
      <c r="A95" s="182" t="s">
        <v>74</v>
      </c>
      <c r="B95" s="182"/>
      <c r="C95" s="182"/>
      <c r="D95" s="182"/>
      <c r="E95" s="182"/>
      <c r="F95" s="182"/>
      <c r="G95" s="11">
        <v>87</v>
      </c>
      <c r="H95" s="18">
        <v>2361792</v>
      </c>
      <c r="I95" s="18">
        <v>0</v>
      </c>
    </row>
    <row r="96" spans="1:9" ht="12.75" customHeight="1" x14ac:dyDescent="0.2">
      <c r="A96" s="182" t="s">
        <v>75</v>
      </c>
      <c r="B96" s="182"/>
      <c r="C96" s="182"/>
      <c r="D96" s="182"/>
      <c r="E96" s="182"/>
      <c r="F96" s="182"/>
      <c r="G96" s="11">
        <v>88</v>
      </c>
      <c r="H96" s="18">
        <v>0</v>
      </c>
      <c r="I96" s="18">
        <v>19402806</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43663097</v>
      </c>
      <c r="I98" s="120">
        <f>SUM(I99:I104)</f>
        <v>51010773</v>
      </c>
    </row>
    <row r="99" spans="1:9" ht="12.75" customHeight="1" x14ac:dyDescent="0.2">
      <c r="A99" s="182" t="s">
        <v>77</v>
      </c>
      <c r="B99" s="182"/>
      <c r="C99" s="182"/>
      <c r="D99" s="182"/>
      <c r="E99" s="182"/>
      <c r="F99" s="182"/>
      <c r="G99" s="11">
        <v>91</v>
      </c>
      <c r="H99" s="18">
        <v>278887</v>
      </c>
      <c r="I99" s="18">
        <v>328887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1423723</v>
      </c>
      <c r="I101" s="18">
        <v>1079637</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41960487</v>
      </c>
      <c r="I104" s="18">
        <v>49602249</v>
      </c>
    </row>
    <row r="105" spans="1:9" ht="12.75" customHeight="1" x14ac:dyDescent="0.2">
      <c r="A105" s="184" t="s">
        <v>356</v>
      </c>
      <c r="B105" s="184"/>
      <c r="C105" s="184"/>
      <c r="D105" s="184"/>
      <c r="E105" s="184"/>
      <c r="F105" s="184"/>
      <c r="G105" s="12">
        <v>97</v>
      </c>
      <c r="H105" s="120">
        <f>SUM(H106:H116)</f>
        <v>107537262</v>
      </c>
      <c r="I105" s="120">
        <f>SUM(I106:I116)</f>
        <v>148884245</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81653738</v>
      </c>
      <c r="I107" s="18">
        <v>82592328</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7253</v>
      </c>
      <c r="I110" s="18">
        <v>7253</v>
      </c>
    </row>
    <row r="111" spans="1:9" ht="12.75" customHeight="1" x14ac:dyDescent="0.2">
      <c r="A111" s="182" t="s">
        <v>88</v>
      </c>
      <c r="B111" s="182"/>
      <c r="C111" s="182"/>
      <c r="D111" s="182"/>
      <c r="E111" s="182"/>
      <c r="F111" s="182"/>
      <c r="G111" s="11">
        <v>103</v>
      </c>
      <c r="H111" s="18">
        <v>24980468</v>
      </c>
      <c r="I111" s="18">
        <v>64705320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895803</v>
      </c>
      <c r="I115" s="18">
        <v>1579344</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57929144</v>
      </c>
      <c r="I117" s="120">
        <f>SUM(I118:I131)</f>
        <v>59498375</v>
      </c>
    </row>
    <row r="118" spans="1:9" ht="12.75" customHeight="1" x14ac:dyDescent="0.2">
      <c r="A118" s="182" t="s">
        <v>83</v>
      </c>
      <c r="B118" s="182"/>
      <c r="C118" s="182"/>
      <c r="D118" s="182"/>
      <c r="E118" s="182"/>
      <c r="F118" s="182"/>
      <c r="G118" s="11">
        <v>110</v>
      </c>
      <c r="H118" s="18">
        <v>0</v>
      </c>
      <c r="I118" s="18">
        <v>26</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1714769</v>
      </c>
      <c r="I122" s="18">
        <v>1991738</v>
      </c>
    </row>
    <row r="123" spans="1:9" ht="12.75" customHeight="1" x14ac:dyDescent="0.2">
      <c r="A123" s="182" t="s">
        <v>88</v>
      </c>
      <c r="B123" s="182"/>
      <c r="C123" s="182"/>
      <c r="D123" s="182"/>
      <c r="E123" s="182"/>
      <c r="F123" s="182"/>
      <c r="G123" s="11">
        <v>115</v>
      </c>
      <c r="H123" s="18">
        <v>11915190</v>
      </c>
      <c r="I123" s="18">
        <v>17994488</v>
      </c>
    </row>
    <row r="124" spans="1:9" ht="12.75" customHeight="1" x14ac:dyDescent="0.2">
      <c r="A124" s="182" t="s">
        <v>89</v>
      </c>
      <c r="B124" s="182"/>
      <c r="C124" s="182"/>
      <c r="D124" s="182"/>
      <c r="E124" s="182"/>
      <c r="F124" s="182"/>
      <c r="G124" s="11">
        <v>116</v>
      </c>
      <c r="H124" s="18">
        <v>301001</v>
      </c>
      <c r="I124" s="18">
        <v>353624</v>
      </c>
    </row>
    <row r="125" spans="1:9" ht="12.75" customHeight="1" x14ac:dyDescent="0.2">
      <c r="A125" s="182" t="s">
        <v>90</v>
      </c>
      <c r="B125" s="182"/>
      <c r="C125" s="182"/>
      <c r="D125" s="182"/>
      <c r="E125" s="182"/>
      <c r="F125" s="182"/>
      <c r="G125" s="11">
        <v>117</v>
      </c>
      <c r="H125" s="18">
        <v>17669858</v>
      </c>
      <c r="I125" s="18">
        <v>15295299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1751461</v>
      </c>
      <c r="I127" s="18">
        <v>2299456</v>
      </c>
    </row>
    <row r="128" spans="1:9" x14ac:dyDescent="0.2">
      <c r="A128" s="182" t="s">
        <v>95</v>
      </c>
      <c r="B128" s="182"/>
      <c r="C128" s="182"/>
      <c r="D128" s="182"/>
      <c r="E128" s="182"/>
      <c r="F128" s="182"/>
      <c r="G128" s="11">
        <v>120</v>
      </c>
      <c r="H128" s="18">
        <v>1556997</v>
      </c>
      <c r="I128" s="18">
        <v>2014388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23019868</v>
      </c>
      <c r="I131" s="18">
        <v>19549356</v>
      </c>
    </row>
    <row r="132" spans="1:9" ht="22.15" customHeight="1" x14ac:dyDescent="0.2">
      <c r="A132" s="183" t="s">
        <v>99</v>
      </c>
      <c r="B132" s="183"/>
      <c r="C132" s="183"/>
      <c r="D132" s="183"/>
      <c r="E132" s="183"/>
      <c r="F132" s="183"/>
      <c r="G132" s="11">
        <v>124</v>
      </c>
      <c r="H132" s="18">
        <v>3872216</v>
      </c>
      <c r="I132" s="18">
        <v>11143822</v>
      </c>
    </row>
    <row r="133" spans="1:9" ht="12.75" customHeight="1" x14ac:dyDescent="0.2">
      <c r="A133" s="184" t="s">
        <v>358</v>
      </c>
      <c r="B133" s="184"/>
      <c r="C133" s="184"/>
      <c r="D133" s="184"/>
      <c r="E133" s="184"/>
      <c r="F133" s="184"/>
      <c r="G133" s="12">
        <v>125</v>
      </c>
      <c r="H133" s="120">
        <f>H75+H98+H105+H117+H132</f>
        <v>228171849</v>
      </c>
      <c r="I133" s="120">
        <f>I75+I98+I105+I117+I132</f>
        <v>274294518</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9" zoomScaleNormal="89" zoomScaleSheetLayoutView="110" workbookViewId="0">
      <selection activeCell="A89" sqref="A89: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472</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468</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254438908</v>
      </c>
      <c r="I8" s="52">
        <f>SUM(I9:I13)</f>
        <v>55178682</v>
      </c>
      <c r="J8" s="52">
        <f>SUM(J9:J13)</f>
        <v>256975698</v>
      </c>
      <c r="K8" s="52">
        <f>SUM(K9:K13)</f>
        <v>57466133</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223655959</v>
      </c>
      <c r="I10" s="53">
        <f>+H10-175185531</f>
        <v>48470428</v>
      </c>
      <c r="J10" s="53">
        <v>232872313</v>
      </c>
      <c r="K10" s="53">
        <f>J10-181998505</f>
        <v>50873808</v>
      </c>
    </row>
    <row r="11" spans="1:11" ht="12.75" customHeight="1" x14ac:dyDescent="0.2">
      <c r="A11" s="182" t="s">
        <v>117</v>
      </c>
      <c r="B11" s="182"/>
      <c r="C11" s="182"/>
      <c r="D11" s="182"/>
      <c r="E11" s="182"/>
      <c r="F11" s="182"/>
      <c r="G11" s="11">
        <v>4</v>
      </c>
      <c r="H11" s="53">
        <v>0</v>
      </c>
      <c r="I11" s="53">
        <f t="shared" ref="I11:I12" si="0">+H11</f>
        <v>0</v>
      </c>
      <c r="J11" s="53">
        <v>0</v>
      </c>
      <c r="K11" s="53">
        <v>0</v>
      </c>
    </row>
    <row r="12" spans="1:11" ht="12.75" customHeight="1" x14ac:dyDescent="0.2">
      <c r="A12" s="182" t="s">
        <v>118</v>
      </c>
      <c r="B12" s="182"/>
      <c r="C12" s="182"/>
      <c r="D12" s="182"/>
      <c r="E12" s="182"/>
      <c r="F12" s="182"/>
      <c r="G12" s="11">
        <v>5</v>
      </c>
      <c r="H12" s="53">
        <v>0</v>
      </c>
      <c r="I12" s="53">
        <f t="shared" si="0"/>
        <v>0</v>
      </c>
      <c r="J12" s="53">
        <v>0</v>
      </c>
      <c r="K12" s="53">
        <v>0</v>
      </c>
    </row>
    <row r="13" spans="1:11" ht="12.75" customHeight="1" x14ac:dyDescent="0.2">
      <c r="A13" s="182" t="s">
        <v>119</v>
      </c>
      <c r="B13" s="182"/>
      <c r="C13" s="182"/>
      <c r="D13" s="182"/>
      <c r="E13" s="182"/>
      <c r="F13" s="182"/>
      <c r="G13" s="11">
        <v>6</v>
      </c>
      <c r="H13" s="53">
        <v>30782949</v>
      </c>
      <c r="I13" s="53">
        <f>+H13-24074695</f>
        <v>6708254</v>
      </c>
      <c r="J13" s="53">
        <v>24103385</v>
      </c>
      <c r="K13" s="53">
        <f>J13-17511060</f>
        <v>6592325</v>
      </c>
    </row>
    <row r="14" spans="1:11" ht="12.75" customHeight="1" x14ac:dyDescent="0.2">
      <c r="A14" s="213" t="s">
        <v>360</v>
      </c>
      <c r="B14" s="213"/>
      <c r="C14" s="213"/>
      <c r="D14" s="213"/>
      <c r="E14" s="213"/>
      <c r="F14" s="213"/>
      <c r="G14" s="12">
        <v>7</v>
      </c>
      <c r="H14" s="52">
        <f>H15+H16+H20+H24+H25+H26+H29+H36</f>
        <v>250139297</v>
      </c>
      <c r="I14" s="52">
        <f>I15+I16+I20+I24+I25+I26+I29+I36</f>
        <v>59138258</v>
      </c>
      <c r="J14" s="52">
        <f>J15+J16+J20+J24+J25+J26+J29+J36</f>
        <v>272598251</v>
      </c>
      <c r="K14" s="52">
        <f>K15+K16+K20+K24+K25+K26+K29+K36</f>
        <v>64522754</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170452734</v>
      </c>
      <c r="I16" s="52">
        <f>SUM(I17:I19)</f>
        <v>40605139</v>
      </c>
      <c r="J16" s="52">
        <f>SUM(J17:J19)</f>
        <v>182661424</v>
      </c>
      <c r="K16" s="52">
        <f>SUM(K17:K19)</f>
        <v>39206783</v>
      </c>
    </row>
    <row r="17" spans="1:11" ht="12.75" customHeight="1" x14ac:dyDescent="0.2">
      <c r="A17" s="216" t="s">
        <v>120</v>
      </c>
      <c r="B17" s="216"/>
      <c r="C17" s="216"/>
      <c r="D17" s="216"/>
      <c r="E17" s="216"/>
      <c r="F17" s="216"/>
      <c r="G17" s="11">
        <v>10</v>
      </c>
      <c r="H17" s="53">
        <v>56183569</v>
      </c>
      <c r="I17" s="53">
        <f>H17-42687399</f>
        <v>13496170</v>
      </c>
      <c r="J17" s="53">
        <v>55053126</v>
      </c>
      <c r="K17" s="53">
        <f>+J17-43428852</f>
        <v>11624274</v>
      </c>
    </row>
    <row r="18" spans="1:11" ht="12.75" customHeight="1" x14ac:dyDescent="0.2">
      <c r="A18" s="216" t="s">
        <v>121</v>
      </c>
      <c r="B18" s="216"/>
      <c r="C18" s="216"/>
      <c r="D18" s="216"/>
      <c r="E18" s="216"/>
      <c r="F18" s="216"/>
      <c r="G18" s="11">
        <v>11</v>
      </c>
      <c r="H18" s="53">
        <v>0</v>
      </c>
      <c r="I18" s="53">
        <v>0</v>
      </c>
      <c r="J18" s="53">
        <v>0</v>
      </c>
      <c r="K18" s="53">
        <v>0</v>
      </c>
    </row>
    <row r="19" spans="1:11" ht="12.75" customHeight="1" x14ac:dyDescent="0.2">
      <c r="A19" s="216" t="s">
        <v>122</v>
      </c>
      <c r="B19" s="216"/>
      <c r="C19" s="216"/>
      <c r="D19" s="216"/>
      <c r="E19" s="216"/>
      <c r="F19" s="216"/>
      <c r="G19" s="11">
        <v>12</v>
      </c>
      <c r="H19" s="53">
        <v>114269165</v>
      </c>
      <c r="I19" s="53">
        <f>+H19-87160196</f>
        <v>27108969</v>
      </c>
      <c r="J19" s="53">
        <v>127608298</v>
      </c>
      <c r="K19" s="53">
        <f>+J19-100025789</f>
        <v>27582509</v>
      </c>
    </row>
    <row r="20" spans="1:11" ht="12.75" customHeight="1" x14ac:dyDescent="0.2">
      <c r="A20" s="186" t="s">
        <v>441</v>
      </c>
      <c r="B20" s="186"/>
      <c r="C20" s="186"/>
      <c r="D20" s="186"/>
      <c r="E20" s="186"/>
      <c r="F20" s="186"/>
      <c r="G20" s="12">
        <v>13</v>
      </c>
      <c r="H20" s="52">
        <f>SUM(H21:H23)</f>
        <v>36484891</v>
      </c>
      <c r="I20" s="52">
        <f>SUM(I21:I23)</f>
        <v>9382293</v>
      </c>
      <c r="J20" s="52">
        <f>SUM(J21:J23)</f>
        <v>44266520</v>
      </c>
      <c r="K20" s="52">
        <f>SUM(K21:K23)</f>
        <v>11867842</v>
      </c>
    </row>
    <row r="21" spans="1:11" ht="12.75" customHeight="1" x14ac:dyDescent="0.2">
      <c r="A21" s="216" t="s">
        <v>105</v>
      </c>
      <c r="B21" s="216"/>
      <c r="C21" s="216"/>
      <c r="D21" s="216"/>
      <c r="E21" s="216"/>
      <c r="F21" s="216"/>
      <c r="G21" s="11">
        <v>14</v>
      </c>
      <c r="H21" s="53">
        <v>20376024</v>
      </c>
      <c r="I21" s="53">
        <f>+H21-15122039</f>
        <v>5253985</v>
      </c>
      <c r="J21" s="53">
        <v>24718784</v>
      </c>
      <c r="K21" s="53">
        <f>+J21-18085575</f>
        <v>6633209</v>
      </c>
    </row>
    <row r="22" spans="1:11" ht="12.75" customHeight="1" x14ac:dyDescent="0.2">
      <c r="A22" s="216" t="s">
        <v>106</v>
      </c>
      <c r="B22" s="216"/>
      <c r="C22" s="216"/>
      <c r="D22" s="216"/>
      <c r="E22" s="216"/>
      <c r="F22" s="216"/>
      <c r="G22" s="11">
        <v>15</v>
      </c>
      <c r="H22" s="53">
        <v>9470985</v>
      </c>
      <c r="I22" s="53">
        <f>+H22-7059001</f>
        <v>2411984</v>
      </c>
      <c r="J22" s="53">
        <v>11565868</v>
      </c>
      <c r="K22" s="53">
        <f>+J22-8467134</f>
        <v>3098734</v>
      </c>
    </row>
    <row r="23" spans="1:11" ht="12.75" customHeight="1" x14ac:dyDescent="0.2">
      <c r="A23" s="216" t="s">
        <v>107</v>
      </c>
      <c r="B23" s="216"/>
      <c r="C23" s="216"/>
      <c r="D23" s="216"/>
      <c r="E23" s="216"/>
      <c r="F23" s="216"/>
      <c r="G23" s="11">
        <v>16</v>
      </c>
      <c r="H23" s="53">
        <v>6637882</v>
      </c>
      <c r="I23" s="53">
        <f>+H23-4921558</f>
        <v>1716324</v>
      </c>
      <c r="J23" s="53">
        <v>7981868</v>
      </c>
      <c r="K23" s="53">
        <f>+J23-5845969</f>
        <v>2135899</v>
      </c>
    </row>
    <row r="24" spans="1:11" ht="12.75" customHeight="1" x14ac:dyDescent="0.2">
      <c r="A24" s="182" t="s">
        <v>108</v>
      </c>
      <c r="B24" s="182"/>
      <c r="C24" s="182"/>
      <c r="D24" s="182"/>
      <c r="E24" s="182"/>
      <c r="F24" s="182"/>
      <c r="G24" s="11">
        <v>17</v>
      </c>
      <c r="H24" s="53">
        <v>19016328</v>
      </c>
      <c r="I24" s="53">
        <f>+H24-14018493</f>
        <v>4997835</v>
      </c>
      <c r="J24" s="53">
        <v>21957071</v>
      </c>
      <c r="K24" s="53">
        <f>+J24-17035684</f>
        <v>4921387</v>
      </c>
    </row>
    <row r="25" spans="1:11" ht="12.75" customHeight="1" x14ac:dyDescent="0.2">
      <c r="A25" s="182" t="s">
        <v>109</v>
      </c>
      <c r="B25" s="182"/>
      <c r="C25" s="182"/>
      <c r="D25" s="182"/>
      <c r="E25" s="182"/>
      <c r="F25" s="182"/>
      <c r="G25" s="11">
        <v>18</v>
      </c>
      <c r="H25" s="53">
        <v>19798305</v>
      </c>
      <c r="I25" s="53">
        <f>+H25-13646520-3000000</f>
        <v>3151785</v>
      </c>
      <c r="J25" s="53">
        <v>22129720</v>
      </c>
      <c r="K25" s="53">
        <f>+J25-14790844</f>
        <v>7338876</v>
      </c>
    </row>
    <row r="26" spans="1:11" ht="12.75" customHeight="1" x14ac:dyDescent="0.2">
      <c r="A26" s="186" t="s">
        <v>442</v>
      </c>
      <c r="B26" s="186"/>
      <c r="C26" s="186"/>
      <c r="D26" s="186"/>
      <c r="E26" s="186"/>
      <c r="F26" s="186"/>
      <c r="G26" s="12">
        <v>19</v>
      </c>
      <c r="H26" s="52">
        <f>H27+H28</f>
        <v>52858</v>
      </c>
      <c r="I26" s="52">
        <f>I27+I28</f>
        <v>43074</v>
      </c>
      <c r="J26" s="52">
        <f>J27+J28</f>
        <v>25623</v>
      </c>
      <c r="K26" s="52">
        <f>K27+K28</f>
        <v>25623</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52858</v>
      </c>
      <c r="I28" s="53">
        <f>+H28-9784</f>
        <v>43074</v>
      </c>
      <c r="J28" s="53">
        <v>25623</v>
      </c>
      <c r="K28" s="53">
        <f>J28</f>
        <v>25623</v>
      </c>
    </row>
    <row r="29" spans="1:11" ht="12.75" customHeight="1" x14ac:dyDescent="0.2">
      <c r="A29" s="186" t="s">
        <v>443</v>
      </c>
      <c r="B29" s="186"/>
      <c r="C29" s="186"/>
      <c r="D29" s="186"/>
      <c r="E29" s="186"/>
      <c r="F29" s="186"/>
      <c r="G29" s="12">
        <v>22</v>
      </c>
      <c r="H29" s="52">
        <f>SUM(H30:H35)</f>
        <v>238610</v>
      </c>
      <c r="I29" s="52">
        <f>SUM(I30:I35)</f>
        <v>238610</v>
      </c>
      <c r="J29" s="52">
        <f>SUM(J30:J35)</f>
        <v>251728</v>
      </c>
      <c r="K29" s="52">
        <f>SUM(K30:K35)</f>
        <v>251728</v>
      </c>
    </row>
    <row r="30" spans="1:11" ht="12.75" customHeight="1" x14ac:dyDescent="0.2">
      <c r="A30" s="216" t="s">
        <v>125</v>
      </c>
      <c r="B30" s="216"/>
      <c r="C30" s="216"/>
      <c r="D30" s="216"/>
      <c r="E30" s="216"/>
      <c r="F30" s="216"/>
      <c r="G30" s="11">
        <v>23</v>
      </c>
      <c r="H30" s="53">
        <v>383</v>
      </c>
      <c r="I30" s="53">
        <f>+H30-0</f>
        <v>383</v>
      </c>
      <c r="J30" s="53">
        <v>50000</v>
      </c>
      <c r="K30" s="53">
        <f>+J30</f>
        <v>50000</v>
      </c>
    </row>
    <row r="31" spans="1:11" ht="12.75" customHeight="1" x14ac:dyDescent="0.2">
      <c r="A31" s="216" t="s">
        <v>126</v>
      </c>
      <c r="B31" s="216"/>
      <c r="C31" s="216"/>
      <c r="D31" s="216"/>
      <c r="E31" s="216"/>
      <c r="F31" s="216"/>
      <c r="G31" s="11">
        <v>24</v>
      </c>
      <c r="H31" s="53">
        <v>0</v>
      </c>
      <c r="I31" s="53">
        <f t="shared" ref="I31:I35" si="1">+H31-0</f>
        <v>0</v>
      </c>
      <c r="J31" s="53">
        <v>0</v>
      </c>
      <c r="K31" s="53">
        <v>0</v>
      </c>
    </row>
    <row r="32" spans="1:11" ht="12.75" customHeight="1" x14ac:dyDescent="0.2">
      <c r="A32" s="216" t="s">
        <v>127</v>
      </c>
      <c r="B32" s="216"/>
      <c r="C32" s="216"/>
      <c r="D32" s="216"/>
      <c r="E32" s="216"/>
      <c r="F32" s="216"/>
      <c r="G32" s="11">
        <v>25</v>
      </c>
      <c r="H32" s="53">
        <v>70721</v>
      </c>
      <c r="I32" s="53">
        <f t="shared" si="1"/>
        <v>70721</v>
      </c>
      <c r="J32" s="53">
        <v>68730</v>
      </c>
      <c r="K32" s="53">
        <f>+J32</f>
        <v>68730</v>
      </c>
    </row>
    <row r="33" spans="1:11" ht="12.75" customHeight="1" x14ac:dyDescent="0.2">
      <c r="A33" s="216" t="s">
        <v>128</v>
      </c>
      <c r="B33" s="216"/>
      <c r="C33" s="216"/>
      <c r="D33" s="216"/>
      <c r="E33" s="216"/>
      <c r="F33" s="216"/>
      <c r="G33" s="11">
        <v>26</v>
      </c>
      <c r="H33" s="53">
        <v>0</v>
      </c>
      <c r="I33" s="53">
        <f t="shared" si="1"/>
        <v>0</v>
      </c>
      <c r="J33" s="53">
        <v>0</v>
      </c>
      <c r="K33" s="53">
        <v>0</v>
      </c>
    </row>
    <row r="34" spans="1:11" ht="12.75" customHeight="1" x14ac:dyDescent="0.2">
      <c r="A34" s="216" t="s">
        <v>129</v>
      </c>
      <c r="B34" s="216"/>
      <c r="C34" s="216"/>
      <c r="D34" s="216"/>
      <c r="E34" s="216"/>
      <c r="F34" s="216"/>
      <c r="G34" s="11">
        <v>27</v>
      </c>
      <c r="H34" s="53">
        <v>0</v>
      </c>
      <c r="I34" s="53">
        <f t="shared" si="1"/>
        <v>0</v>
      </c>
      <c r="J34" s="53">
        <v>0</v>
      </c>
      <c r="K34" s="53">
        <v>0</v>
      </c>
    </row>
    <row r="35" spans="1:11" ht="12.75" customHeight="1" x14ac:dyDescent="0.2">
      <c r="A35" s="216" t="s">
        <v>130</v>
      </c>
      <c r="B35" s="216"/>
      <c r="C35" s="216"/>
      <c r="D35" s="216"/>
      <c r="E35" s="216"/>
      <c r="F35" s="216"/>
      <c r="G35" s="11">
        <v>28</v>
      </c>
      <c r="H35" s="53">
        <v>167506</v>
      </c>
      <c r="I35" s="53">
        <f t="shared" si="1"/>
        <v>167506</v>
      </c>
      <c r="J35" s="53">
        <v>132998</v>
      </c>
      <c r="K35" s="53">
        <f>+J35</f>
        <v>132998</v>
      </c>
    </row>
    <row r="36" spans="1:11" ht="12.75" customHeight="1" x14ac:dyDescent="0.2">
      <c r="A36" s="182" t="s">
        <v>110</v>
      </c>
      <c r="B36" s="182"/>
      <c r="C36" s="182"/>
      <c r="D36" s="182"/>
      <c r="E36" s="182"/>
      <c r="F36" s="182"/>
      <c r="G36" s="11">
        <v>29</v>
      </c>
      <c r="H36" s="53">
        <v>4095571</v>
      </c>
      <c r="I36" s="53">
        <f>+H36-6376049+3000000</f>
        <v>719522</v>
      </c>
      <c r="J36" s="53">
        <v>1306165</v>
      </c>
      <c r="K36" s="53">
        <f>+J36-395650</f>
        <v>910515</v>
      </c>
    </row>
    <row r="37" spans="1:11" ht="12.75" customHeight="1" x14ac:dyDescent="0.2">
      <c r="A37" s="213" t="s">
        <v>361</v>
      </c>
      <c r="B37" s="213"/>
      <c r="C37" s="213"/>
      <c r="D37" s="213"/>
      <c r="E37" s="213"/>
      <c r="F37" s="213"/>
      <c r="G37" s="12">
        <v>30</v>
      </c>
      <c r="H37" s="52">
        <f>SUM(H38:H47)</f>
        <v>9368583</v>
      </c>
      <c r="I37" s="52">
        <f>SUM(I38:I47)</f>
        <v>2785605</v>
      </c>
      <c r="J37" s="52">
        <f>SUM(J38:J47)</f>
        <v>11584154</v>
      </c>
      <c r="K37" s="52">
        <f>SUM(K38:K47)</f>
        <v>3880891</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f>+J41</f>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1459726</v>
      </c>
      <c r="I44" s="53">
        <f>+H44-850808</f>
        <v>608918</v>
      </c>
      <c r="J44" s="53">
        <v>2152451</v>
      </c>
      <c r="K44" s="53">
        <f>+J44-1772045</f>
        <v>380406</v>
      </c>
    </row>
    <row r="45" spans="1:11" ht="12.75" customHeight="1" x14ac:dyDescent="0.2">
      <c r="A45" s="182" t="s">
        <v>138</v>
      </c>
      <c r="B45" s="182"/>
      <c r="C45" s="182"/>
      <c r="D45" s="182"/>
      <c r="E45" s="182"/>
      <c r="F45" s="182"/>
      <c r="G45" s="11">
        <v>38</v>
      </c>
      <c r="H45" s="53">
        <v>7908857</v>
      </c>
      <c r="I45" s="53">
        <f>+H45-5732170</f>
        <v>2176687</v>
      </c>
      <c r="J45" s="53">
        <v>9427663</v>
      </c>
      <c r="K45" s="53">
        <f>+J45-5927178</f>
        <v>3500485</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4040</v>
      </c>
      <c r="K47" s="53">
        <f>+J47-4040</f>
        <v>0</v>
      </c>
    </row>
    <row r="48" spans="1:11" ht="12.75" customHeight="1" x14ac:dyDescent="0.2">
      <c r="A48" s="213" t="s">
        <v>362</v>
      </c>
      <c r="B48" s="213"/>
      <c r="C48" s="213"/>
      <c r="D48" s="213"/>
      <c r="E48" s="213"/>
      <c r="F48" s="213"/>
      <c r="G48" s="12">
        <v>41</v>
      </c>
      <c r="H48" s="52">
        <f>SUM(H49:H55)</f>
        <v>11299354</v>
      </c>
      <c r="I48" s="52">
        <f>SUM(I49:I55)</f>
        <v>3691832</v>
      </c>
      <c r="J48" s="52">
        <f>SUM(J49:J55)</f>
        <v>15325168</v>
      </c>
      <c r="K48" s="52">
        <f>SUM(K49:K55)</f>
        <v>7354104</v>
      </c>
    </row>
    <row r="49" spans="1:11" ht="25.15" customHeight="1" x14ac:dyDescent="0.2">
      <c r="A49" s="182" t="s">
        <v>141</v>
      </c>
      <c r="B49" s="182"/>
      <c r="C49" s="182"/>
      <c r="D49" s="182"/>
      <c r="E49" s="182"/>
      <c r="F49" s="182"/>
      <c r="G49" s="11">
        <v>42</v>
      </c>
      <c r="H49" s="53">
        <v>1165082</v>
      </c>
      <c r="I49" s="53">
        <f>+H49-866304</f>
        <v>298778</v>
      </c>
      <c r="J49" s="53">
        <v>1553359</v>
      </c>
      <c r="K49" s="53">
        <f>+J49-1162203</f>
        <v>391156</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1781652</v>
      </c>
      <c r="I51" s="53">
        <f>+H51-1308425</f>
        <v>473227</v>
      </c>
      <c r="J51" s="53">
        <v>3442860</v>
      </c>
      <c r="K51" s="53">
        <f>+J51-2166491</f>
        <v>1276369</v>
      </c>
    </row>
    <row r="52" spans="1:11" ht="12.75" customHeight="1" x14ac:dyDescent="0.2">
      <c r="A52" s="206" t="s">
        <v>144</v>
      </c>
      <c r="B52" s="206"/>
      <c r="C52" s="206"/>
      <c r="D52" s="206"/>
      <c r="E52" s="206"/>
      <c r="F52" s="206"/>
      <c r="G52" s="11">
        <v>45</v>
      </c>
      <c r="H52" s="53">
        <v>8347462</v>
      </c>
      <c r="I52" s="53">
        <f>+H52-5427635</f>
        <v>2919827</v>
      </c>
      <c r="J52" s="53">
        <v>10328949</v>
      </c>
      <c r="K52" s="53">
        <f>+J52-4642370</f>
        <v>5686579</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5158</v>
      </c>
      <c r="I55" s="53">
        <f>+H55-5158</f>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263807491</v>
      </c>
      <c r="I60" s="52">
        <f t="shared" ref="I60:K60" si="2">I8+I37+I56+I57</f>
        <v>57964287</v>
      </c>
      <c r="J60" s="52">
        <f t="shared" si="2"/>
        <v>268559852</v>
      </c>
      <c r="K60" s="52">
        <f t="shared" si="2"/>
        <v>61347024</v>
      </c>
    </row>
    <row r="61" spans="1:11" ht="12.75" customHeight="1" x14ac:dyDescent="0.2">
      <c r="A61" s="213" t="s">
        <v>364</v>
      </c>
      <c r="B61" s="213"/>
      <c r="C61" s="213"/>
      <c r="D61" s="213"/>
      <c r="E61" s="213"/>
      <c r="F61" s="213"/>
      <c r="G61" s="12">
        <v>54</v>
      </c>
      <c r="H61" s="52">
        <f>H14+H48+H58+H59</f>
        <v>261438651</v>
      </c>
      <c r="I61" s="52">
        <f t="shared" ref="I61:K61" si="3">I14+I48+I58+I59</f>
        <v>62830090</v>
      </c>
      <c r="J61" s="52">
        <f t="shared" si="3"/>
        <v>287923419</v>
      </c>
      <c r="K61" s="52">
        <f t="shared" si="3"/>
        <v>71876858</v>
      </c>
    </row>
    <row r="62" spans="1:11" ht="12.75" customHeight="1" x14ac:dyDescent="0.2">
      <c r="A62" s="213" t="s">
        <v>365</v>
      </c>
      <c r="B62" s="213"/>
      <c r="C62" s="213"/>
      <c r="D62" s="213"/>
      <c r="E62" s="213"/>
      <c r="F62" s="213"/>
      <c r="G62" s="12">
        <v>55</v>
      </c>
      <c r="H62" s="52">
        <f>H60-H61</f>
        <v>2368840</v>
      </c>
      <c r="I62" s="52">
        <f t="shared" ref="I62:K62" si="4">I60-I61</f>
        <v>-4865803</v>
      </c>
      <c r="J62" s="52">
        <f t="shared" si="4"/>
        <v>-19363567</v>
      </c>
      <c r="K62" s="52">
        <f t="shared" si="4"/>
        <v>-10529834</v>
      </c>
    </row>
    <row r="63" spans="1:11" ht="12.75" customHeight="1" x14ac:dyDescent="0.2">
      <c r="A63" s="214" t="s">
        <v>366</v>
      </c>
      <c r="B63" s="214"/>
      <c r="C63" s="214"/>
      <c r="D63" s="214"/>
      <c r="E63" s="214"/>
      <c r="F63" s="214"/>
      <c r="G63" s="12">
        <v>56</v>
      </c>
      <c r="H63" s="52">
        <f>+IF((H60-H61)&gt;0,(H60-H61),0)</f>
        <v>2368840</v>
      </c>
      <c r="I63" s="52">
        <f t="shared" ref="I63:K63" si="5">+IF((I60-I61)&gt;0,(I60-I61),0)</f>
        <v>0</v>
      </c>
      <c r="J63" s="52">
        <f t="shared" si="5"/>
        <v>0</v>
      </c>
      <c r="K63" s="52">
        <f t="shared" si="5"/>
        <v>0</v>
      </c>
    </row>
    <row r="64" spans="1:11" ht="12.75" customHeight="1" x14ac:dyDescent="0.2">
      <c r="A64" s="214" t="s">
        <v>367</v>
      </c>
      <c r="B64" s="214"/>
      <c r="C64" s="214"/>
      <c r="D64" s="214"/>
      <c r="E64" s="214"/>
      <c r="F64" s="214"/>
      <c r="G64" s="12">
        <v>57</v>
      </c>
      <c r="H64" s="52">
        <f>+IF((H60-H61)&lt;0,(H60-H61),0)</f>
        <v>0</v>
      </c>
      <c r="I64" s="52">
        <f t="shared" ref="I64:K64" si="6">+IF((I60-I61)&lt;0,(I60-I61),0)</f>
        <v>-4865803</v>
      </c>
      <c r="J64" s="52">
        <f t="shared" si="6"/>
        <v>-19363567</v>
      </c>
      <c r="K64" s="52">
        <f t="shared" si="6"/>
        <v>-10529834</v>
      </c>
    </row>
    <row r="65" spans="1:11" ht="12.75" customHeight="1" x14ac:dyDescent="0.2">
      <c r="A65" s="215" t="s">
        <v>111</v>
      </c>
      <c r="B65" s="215"/>
      <c r="C65" s="215"/>
      <c r="D65" s="215"/>
      <c r="E65" s="215"/>
      <c r="F65" s="215"/>
      <c r="G65" s="11">
        <v>58</v>
      </c>
      <c r="H65" s="53">
        <v>7048</v>
      </c>
      <c r="I65" s="53">
        <f>+H65-0</f>
        <v>7048</v>
      </c>
      <c r="J65" s="53">
        <v>39239</v>
      </c>
      <c r="K65" s="53">
        <f>+J65</f>
        <v>39239</v>
      </c>
    </row>
    <row r="66" spans="1:11" ht="12.75" customHeight="1" x14ac:dyDescent="0.2">
      <c r="A66" s="213" t="s">
        <v>368</v>
      </c>
      <c r="B66" s="213"/>
      <c r="C66" s="213"/>
      <c r="D66" s="213"/>
      <c r="E66" s="213"/>
      <c r="F66" s="213"/>
      <c r="G66" s="12">
        <v>59</v>
      </c>
      <c r="H66" s="52">
        <f>H62-H65</f>
        <v>2361792</v>
      </c>
      <c r="I66" s="52">
        <f t="shared" ref="I66:K66" si="7">I62-I65</f>
        <v>-4872851</v>
      </c>
      <c r="J66" s="52">
        <f t="shared" si="7"/>
        <v>-19402806</v>
      </c>
      <c r="K66" s="52">
        <f t="shared" si="7"/>
        <v>-10569073</v>
      </c>
    </row>
    <row r="67" spans="1:11" ht="12.75" customHeight="1" x14ac:dyDescent="0.2">
      <c r="A67" s="214" t="s">
        <v>369</v>
      </c>
      <c r="B67" s="214"/>
      <c r="C67" s="214"/>
      <c r="D67" s="214"/>
      <c r="E67" s="214"/>
      <c r="F67" s="214"/>
      <c r="G67" s="12">
        <v>60</v>
      </c>
      <c r="H67" s="52">
        <f>+IF((H62-H65)&gt;0,(H62-H65),0)</f>
        <v>2361792</v>
      </c>
      <c r="I67" s="52">
        <f t="shared" ref="I67:K67" si="8">+IF((I62-I65)&gt;0,(I62-I65),0)</f>
        <v>0</v>
      </c>
      <c r="J67" s="52">
        <f t="shared" si="8"/>
        <v>0</v>
      </c>
      <c r="K67" s="52">
        <f t="shared" si="8"/>
        <v>0</v>
      </c>
    </row>
    <row r="68" spans="1:11" ht="12.75" customHeight="1" x14ac:dyDescent="0.2">
      <c r="A68" s="214" t="s">
        <v>370</v>
      </c>
      <c r="B68" s="214"/>
      <c r="C68" s="214"/>
      <c r="D68" s="214"/>
      <c r="E68" s="214"/>
      <c r="F68" s="214"/>
      <c r="G68" s="12">
        <v>61</v>
      </c>
      <c r="H68" s="52">
        <f>+IF((H62-H65)&lt;0,(H62-H65),0)</f>
        <v>0</v>
      </c>
      <c r="I68" s="52">
        <f t="shared" ref="I68:K68" si="9">+IF((I62-I65)&lt;0,(I62-I65),0)</f>
        <v>-4872851</v>
      </c>
      <c r="J68" s="52">
        <f t="shared" si="9"/>
        <v>-19402806</v>
      </c>
      <c r="K68" s="52">
        <f t="shared" si="9"/>
        <v>-10569073</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2361792</v>
      </c>
      <c r="I85" s="55">
        <f>I86+I87</f>
        <v>-4872851</v>
      </c>
      <c r="J85" s="55">
        <f>J86+J87</f>
        <v>-19402806</v>
      </c>
      <c r="K85" s="55">
        <f>K86+K87</f>
        <v>-10569073</v>
      </c>
    </row>
    <row r="86" spans="1:11" ht="12.75" customHeight="1" x14ac:dyDescent="0.2">
      <c r="A86" s="203" t="s">
        <v>157</v>
      </c>
      <c r="B86" s="203"/>
      <c r="C86" s="203"/>
      <c r="D86" s="203"/>
      <c r="E86" s="203"/>
      <c r="F86" s="203"/>
      <c r="G86" s="11">
        <v>76</v>
      </c>
      <c r="H86" s="56">
        <f>H67</f>
        <v>2361792</v>
      </c>
      <c r="I86" s="56">
        <f>I66</f>
        <v>-4872851</v>
      </c>
      <c r="J86" s="56">
        <f t="shared" ref="J86:K86" si="10">J66</f>
        <v>-19402806</v>
      </c>
      <c r="K86" s="56">
        <f t="shared" si="10"/>
        <v>-10569073</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+H86</f>
        <v>2361792</v>
      </c>
      <c r="I89" s="56">
        <f t="shared" ref="I89:K89" si="11">+I86</f>
        <v>-4872851</v>
      </c>
      <c r="J89" s="56">
        <f t="shared" si="11"/>
        <v>-19402806</v>
      </c>
      <c r="K89" s="56">
        <f t="shared" si="11"/>
        <v>-10569073</v>
      </c>
    </row>
    <row r="90" spans="1:11" ht="24" customHeight="1" x14ac:dyDescent="0.2">
      <c r="A90" s="184" t="s">
        <v>437</v>
      </c>
      <c r="B90" s="184"/>
      <c r="C90" s="184"/>
      <c r="D90" s="184"/>
      <c r="E90" s="184"/>
      <c r="F90" s="184"/>
      <c r="G90" s="12">
        <v>79</v>
      </c>
      <c r="H90" s="73">
        <f>H91+H98</f>
        <v>532970</v>
      </c>
      <c r="I90" s="73">
        <f>I91+I98</f>
        <v>405260</v>
      </c>
      <c r="J90" s="73">
        <f t="shared" ref="J90:K90" si="12">J91+J98</f>
        <v>7989998</v>
      </c>
      <c r="K90" s="73">
        <f t="shared" si="12"/>
        <v>8053474</v>
      </c>
    </row>
    <row r="91" spans="1:11" ht="24" customHeight="1" x14ac:dyDescent="0.2">
      <c r="A91" s="204" t="s">
        <v>444</v>
      </c>
      <c r="B91" s="204"/>
      <c r="C91" s="204"/>
      <c r="D91" s="204"/>
      <c r="E91" s="204"/>
      <c r="F91" s="204"/>
      <c r="G91" s="12">
        <v>80</v>
      </c>
      <c r="H91" s="73">
        <f>SUM(H92:H96)</f>
        <v>0</v>
      </c>
      <c r="I91" s="73">
        <f>SUM(I92:I96)</f>
        <v>0</v>
      </c>
      <c r="J91" s="73">
        <f t="shared" ref="J91:K91" si="13">SUM(J92:J96)</f>
        <v>8053474</v>
      </c>
      <c r="K91" s="73">
        <f t="shared" si="13"/>
        <v>8053474</v>
      </c>
    </row>
    <row r="92" spans="1:11" ht="25.5" customHeight="1" x14ac:dyDescent="0.2">
      <c r="A92" s="206" t="s">
        <v>382</v>
      </c>
      <c r="B92" s="206"/>
      <c r="C92" s="206"/>
      <c r="D92" s="206"/>
      <c r="E92" s="206"/>
      <c r="F92" s="206"/>
      <c r="G92" s="12">
        <v>81</v>
      </c>
      <c r="H92" s="56">
        <v>0</v>
      </c>
      <c r="I92" s="56">
        <v>0</v>
      </c>
      <c r="J92" s="56">
        <v>8053474</v>
      </c>
      <c r="K92" s="56">
        <f>J92-0</f>
        <v>8053474</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-1449625</v>
      </c>
      <c r="K97" s="56">
        <f>J97+0</f>
        <v>-1449625</v>
      </c>
    </row>
    <row r="98" spans="1:11" ht="25.5" customHeight="1" x14ac:dyDescent="0.2">
      <c r="A98" s="204" t="s">
        <v>438</v>
      </c>
      <c r="B98" s="204"/>
      <c r="C98" s="204"/>
      <c r="D98" s="204"/>
      <c r="E98" s="204"/>
      <c r="F98" s="204"/>
      <c r="G98" s="12">
        <v>87</v>
      </c>
      <c r="H98" s="73">
        <f>SUM(H99:H106)</f>
        <v>532970</v>
      </c>
      <c r="I98" s="73">
        <f>SUM(I99:I106)</f>
        <v>405260</v>
      </c>
      <c r="J98" s="73">
        <f t="shared" ref="J98:K98" si="14">SUM(J99:J106)</f>
        <v>-63476</v>
      </c>
      <c r="K98" s="73">
        <f t="shared" si="14"/>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f>119970+413000</f>
        <v>532970</v>
      </c>
      <c r="I106" s="56">
        <f>+H106-127710</f>
        <v>405260</v>
      </c>
      <c r="J106" s="56">
        <v>-63476</v>
      </c>
      <c r="K106" s="56">
        <f>+J106+63476</f>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532970</v>
      </c>
      <c r="I108" s="73">
        <f>I91+I98-I107-I97</f>
        <v>405260</v>
      </c>
      <c r="J108" s="73">
        <f t="shared" ref="J108:K108" si="15">J91+J98-J107-J97</f>
        <v>9439623</v>
      </c>
      <c r="K108" s="73">
        <f t="shared" si="15"/>
        <v>9503099</v>
      </c>
    </row>
    <row r="109" spans="1:11" ht="12.75" customHeight="1" x14ac:dyDescent="0.2">
      <c r="A109" s="184" t="s">
        <v>393</v>
      </c>
      <c r="B109" s="184"/>
      <c r="C109" s="184"/>
      <c r="D109" s="184"/>
      <c r="E109" s="184"/>
      <c r="F109" s="184"/>
      <c r="G109" s="12">
        <v>98</v>
      </c>
      <c r="H109" s="55">
        <f>H89+H108</f>
        <v>2894762</v>
      </c>
      <c r="I109" s="55">
        <f>I89+I108</f>
        <v>-4467591</v>
      </c>
      <c r="J109" s="55">
        <f t="shared" ref="J109:K109" si="16">J89+J108</f>
        <v>-9963183</v>
      </c>
      <c r="K109" s="55">
        <f t="shared" si="16"/>
        <v>-1065974</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2894762</v>
      </c>
      <c r="I111" s="55">
        <f>I112+I113</f>
        <v>-4467591</v>
      </c>
      <c r="J111" s="55">
        <f>J112+J113</f>
        <v>-9963183</v>
      </c>
      <c r="K111" s="55">
        <f>K112+K113</f>
        <v>-1065974</v>
      </c>
    </row>
    <row r="112" spans="1:11" ht="12.75" customHeight="1" x14ac:dyDescent="0.2">
      <c r="A112" s="203" t="s">
        <v>113</v>
      </c>
      <c r="B112" s="203"/>
      <c r="C112" s="203"/>
      <c r="D112" s="203"/>
      <c r="E112" s="203"/>
      <c r="F112" s="203"/>
      <c r="G112" s="11">
        <v>100</v>
      </c>
      <c r="H112" s="56">
        <f>H109</f>
        <v>2894762</v>
      </c>
      <c r="I112" s="56">
        <f t="shared" ref="I112:K112" si="17">I109</f>
        <v>-4467591</v>
      </c>
      <c r="J112" s="56">
        <f t="shared" si="17"/>
        <v>-9963183</v>
      </c>
      <c r="K112" s="56">
        <f t="shared" si="17"/>
        <v>-1065974</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A5" sqref="A5: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470</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469</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2368840</v>
      </c>
      <c r="I8" s="68">
        <v>-19363567</v>
      </c>
    </row>
    <row r="9" spans="1:9" ht="12.75" customHeight="1" x14ac:dyDescent="0.2">
      <c r="A9" s="237" t="s">
        <v>171</v>
      </c>
      <c r="B9" s="237"/>
      <c r="C9" s="237"/>
      <c r="D9" s="237"/>
      <c r="E9" s="237"/>
      <c r="F9" s="237"/>
      <c r="G9" s="69">
        <v>2</v>
      </c>
      <c r="H9" s="70">
        <f>H10+H11+H12+H13+H14+H15+H16+H17</f>
        <v>-10206131</v>
      </c>
      <c r="I9" s="70">
        <f>I10+I11+I12+I13+I14+I15+I16+I17</f>
        <v>12455964</v>
      </c>
    </row>
    <row r="10" spans="1:9" ht="12.75" customHeight="1" x14ac:dyDescent="0.2">
      <c r="A10" s="216" t="s">
        <v>172</v>
      </c>
      <c r="B10" s="216"/>
      <c r="C10" s="216"/>
      <c r="D10" s="216"/>
      <c r="E10" s="216"/>
      <c r="F10" s="216"/>
      <c r="G10" s="67">
        <v>3</v>
      </c>
      <c r="H10" s="68">
        <v>19016328</v>
      </c>
      <c r="I10" s="68">
        <v>21957071</v>
      </c>
    </row>
    <row r="11" spans="1:9" ht="22.15" customHeight="1" x14ac:dyDescent="0.2">
      <c r="A11" s="216" t="s">
        <v>173</v>
      </c>
      <c r="B11" s="216"/>
      <c r="C11" s="216"/>
      <c r="D11" s="216"/>
      <c r="E11" s="216"/>
      <c r="F11" s="216"/>
      <c r="G11" s="67">
        <v>4</v>
      </c>
      <c r="H11" s="68">
        <v>-9489411</v>
      </c>
      <c r="I11" s="68">
        <v>-353</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-1366726</v>
      </c>
      <c r="I13" s="68">
        <v>-2156491</v>
      </c>
    </row>
    <row r="14" spans="1:9" ht="12.75" customHeight="1" x14ac:dyDescent="0.2">
      <c r="A14" s="216" t="s">
        <v>176</v>
      </c>
      <c r="B14" s="216"/>
      <c r="C14" s="216"/>
      <c r="D14" s="216"/>
      <c r="E14" s="216"/>
      <c r="F14" s="216"/>
      <c r="G14" s="67">
        <v>7</v>
      </c>
      <c r="H14" s="68">
        <v>2946734</v>
      </c>
      <c r="I14" s="68">
        <v>4996219</v>
      </c>
    </row>
    <row r="15" spans="1:9" ht="12.75" customHeight="1" x14ac:dyDescent="0.2">
      <c r="A15" s="216" t="s">
        <v>177</v>
      </c>
      <c r="B15" s="216"/>
      <c r="C15" s="216"/>
      <c r="D15" s="216"/>
      <c r="E15" s="216"/>
      <c r="F15" s="216"/>
      <c r="G15" s="67">
        <v>8</v>
      </c>
      <c r="H15" s="68">
        <v>238610</v>
      </c>
      <c r="I15" s="68">
        <v>251729</v>
      </c>
    </row>
    <row r="16" spans="1:9" ht="12.75" customHeight="1" x14ac:dyDescent="0.2">
      <c r="A16" s="216" t="s">
        <v>178</v>
      </c>
      <c r="B16" s="216"/>
      <c r="C16" s="216"/>
      <c r="D16" s="216"/>
      <c r="E16" s="216"/>
      <c r="F16" s="216"/>
      <c r="G16" s="67">
        <v>9</v>
      </c>
      <c r="H16" s="68">
        <v>-520781</v>
      </c>
      <c r="I16" s="68">
        <v>2210037</v>
      </c>
    </row>
    <row r="17" spans="1:9" ht="25.15" customHeight="1" x14ac:dyDescent="0.2">
      <c r="A17" s="216" t="s">
        <v>179</v>
      </c>
      <c r="B17" s="216"/>
      <c r="C17" s="216"/>
      <c r="D17" s="216"/>
      <c r="E17" s="216"/>
      <c r="F17" s="216"/>
      <c r="G17" s="67">
        <v>10</v>
      </c>
      <c r="H17" s="68">
        <v>-21030885</v>
      </c>
      <c r="I17" s="68">
        <v>-14802248</v>
      </c>
    </row>
    <row r="18" spans="1:9" ht="28.15" customHeight="1" x14ac:dyDescent="0.2">
      <c r="A18" s="233" t="s">
        <v>306</v>
      </c>
      <c r="B18" s="233"/>
      <c r="C18" s="233"/>
      <c r="D18" s="233"/>
      <c r="E18" s="233"/>
      <c r="F18" s="233"/>
      <c r="G18" s="69">
        <v>11</v>
      </c>
      <c r="H18" s="70">
        <f>H8+H9</f>
        <v>-7837291</v>
      </c>
      <c r="I18" s="70">
        <f>I8+I9</f>
        <v>-6907603</v>
      </c>
    </row>
    <row r="19" spans="1:9" ht="12.75" customHeight="1" x14ac:dyDescent="0.2">
      <c r="A19" s="237" t="s">
        <v>180</v>
      </c>
      <c r="B19" s="237"/>
      <c r="C19" s="237"/>
      <c r="D19" s="237"/>
      <c r="E19" s="237"/>
      <c r="F19" s="237"/>
      <c r="G19" s="69">
        <v>12</v>
      </c>
      <c r="H19" s="70">
        <f>H20+H21+H22+H23</f>
        <v>22832741</v>
      </c>
      <c r="I19" s="70">
        <f>I20+I21+I22+I23</f>
        <v>25647180</v>
      </c>
    </row>
    <row r="20" spans="1:9" ht="12.75" customHeight="1" x14ac:dyDescent="0.2">
      <c r="A20" s="216" t="s">
        <v>181</v>
      </c>
      <c r="B20" s="216"/>
      <c r="C20" s="216"/>
      <c r="D20" s="216"/>
      <c r="E20" s="216"/>
      <c r="F20" s="216"/>
      <c r="G20" s="67">
        <v>13</v>
      </c>
      <c r="H20" s="68">
        <v>5535195</v>
      </c>
      <c r="I20" s="68">
        <v>-1287323</v>
      </c>
    </row>
    <row r="21" spans="1:9" ht="12.75" customHeight="1" x14ac:dyDescent="0.2">
      <c r="A21" s="216" t="s">
        <v>182</v>
      </c>
      <c r="B21" s="216"/>
      <c r="C21" s="216"/>
      <c r="D21" s="216"/>
      <c r="E21" s="216"/>
      <c r="F21" s="216"/>
      <c r="G21" s="67">
        <v>14</v>
      </c>
      <c r="H21" s="68">
        <v>-1765027</v>
      </c>
      <c r="I21" s="68">
        <v>755520</v>
      </c>
    </row>
    <row r="22" spans="1:9" ht="12.75" customHeight="1" x14ac:dyDescent="0.2">
      <c r="A22" s="216" t="s">
        <v>183</v>
      </c>
      <c r="B22" s="216"/>
      <c r="C22" s="216"/>
      <c r="D22" s="216"/>
      <c r="E22" s="216"/>
      <c r="F22" s="216"/>
      <c r="G22" s="67">
        <v>15</v>
      </c>
      <c r="H22" s="68">
        <v>-1137372</v>
      </c>
      <c r="I22" s="68">
        <v>-1727041</v>
      </c>
    </row>
    <row r="23" spans="1:9" ht="12.75" customHeight="1" x14ac:dyDescent="0.2">
      <c r="A23" s="216" t="s">
        <v>184</v>
      </c>
      <c r="B23" s="216"/>
      <c r="C23" s="216"/>
      <c r="D23" s="216"/>
      <c r="E23" s="216"/>
      <c r="F23" s="216"/>
      <c r="G23" s="67">
        <v>16</v>
      </c>
      <c r="H23" s="68">
        <v>20199945</v>
      </c>
      <c r="I23" s="68">
        <v>27906024</v>
      </c>
    </row>
    <row r="24" spans="1:9" ht="12.75" customHeight="1" x14ac:dyDescent="0.2">
      <c r="A24" s="233" t="s">
        <v>185</v>
      </c>
      <c r="B24" s="233"/>
      <c r="C24" s="233"/>
      <c r="D24" s="233"/>
      <c r="E24" s="233"/>
      <c r="F24" s="233"/>
      <c r="G24" s="69">
        <v>17</v>
      </c>
      <c r="H24" s="70">
        <f>H18+H19</f>
        <v>14995450</v>
      </c>
      <c r="I24" s="70">
        <f>I18+I19</f>
        <v>18739577</v>
      </c>
    </row>
    <row r="25" spans="1:9" ht="12.75" customHeight="1" x14ac:dyDescent="0.2">
      <c r="A25" s="182" t="s">
        <v>186</v>
      </c>
      <c r="B25" s="182"/>
      <c r="C25" s="182"/>
      <c r="D25" s="182"/>
      <c r="E25" s="182"/>
      <c r="F25" s="182"/>
      <c r="G25" s="67">
        <v>18</v>
      </c>
      <c r="H25" s="68">
        <v>-1780425</v>
      </c>
      <c r="I25" s="68">
        <v>-2179170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13215025</v>
      </c>
      <c r="I27" s="70">
        <f>I24+I25+I26</f>
        <v>16560407</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22992432</v>
      </c>
      <c r="I29" s="71">
        <v>33980</v>
      </c>
    </row>
    <row r="30" spans="1:9" ht="12.75" customHeight="1" x14ac:dyDescent="0.2">
      <c r="A30" s="182" t="s">
        <v>191</v>
      </c>
      <c r="B30" s="182"/>
      <c r="C30" s="182"/>
      <c r="D30" s="182"/>
      <c r="E30" s="182"/>
      <c r="F30" s="182"/>
      <c r="G30" s="67">
        <v>22</v>
      </c>
      <c r="H30" s="71">
        <v>0</v>
      </c>
      <c r="I30" s="71">
        <v>290243</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22992432</v>
      </c>
      <c r="I35" s="72">
        <f>I29+I30+I31+I32+I33+I34</f>
        <v>324223</v>
      </c>
    </row>
    <row r="36" spans="1:9" ht="22.9" customHeight="1" x14ac:dyDescent="0.2">
      <c r="A36" s="182" t="s">
        <v>197</v>
      </c>
      <c r="B36" s="182"/>
      <c r="C36" s="182"/>
      <c r="D36" s="182"/>
      <c r="E36" s="182"/>
      <c r="F36" s="182"/>
      <c r="G36" s="67">
        <v>28</v>
      </c>
      <c r="H36" s="71">
        <v>-2589378</v>
      </c>
      <c r="I36" s="71">
        <v>-20332876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-15071134</v>
      </c>
      <c r="I40" s="71">
        <v>-14447573</v>
      </c>
    </row>
    <row r="41" spans="1:9" ht="24" customHeight="1" x14ac:dyDescent="0.2">
      <c r="A41" s="233" t="s">
        <v>202</v>
      </c>
      <c r="B41" s="233"/>
      <c r="C41" s="233"/>
      <c r="D41" s="233"/>
      <c r="E41" s="233"/>
      <c r="F41" s="233"/>
      <c r="G41" s="69">
        <v>33</v>
      </c>
      <c r="H41" s="72">
        <f>H36+H37+H38+H39+H40</f>
        <v>-17660512</v>
      </c>
      <c r="I41" s="72">
        <f>I36+I37+I38+I39+I40</f>
        <v>-34780449</v>
      </c>
    </row>
    <row r="42" spans="1:9" ht="29.45" customHeight="1" x14ac:dyDescent="0.2">
      <c r="A42" s="234" t="s">
        <v>203</v>
      </c>
      <c r="B42" s="234"/>
      <c r="C42" s="234"/>
      <c r="D42" s="234"/>
      <c r="E42" s="234"/>
      <c r="F42" s="234"/>
      <c r="G42" s="69">
        <v>34</v>
      </c>
      <c r="H42" s="72">
        <f>H35+H41</f>
        <v>5331920</v>
      </c>
      <c r="I42" s="72">
        <f>I35+I41</f>
        <v>-34456226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-2950000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-12705693</v>
      </c>
      <c r="I53" s="71">
        <v>-16379212</v>
      </c>
    </row>
    <row r="54" spans="1:9" ht="30.6" customHeight="1" x14ac:dyDescent="0.2">
      <c r="A54" s="233" t="s">
        <v>214</v>
      </c>
      <c r="B54" s="233"/>
      <c r="C54" s="233"/>
      <c r="D54" s="233"/>
      <c r="E54" s="233"/>
      <c r="F54" s="233"/>
      <c r="G54" s="69">
        <v>45</v>
      </c>
      <c r="H54" s="72">
        <f>H49+H50+H51+H52+H53</f>
        <v>-15655693</v>
      </c>
      <c r="I54" s="72">
        <f>I49+I50+I51+I52+I53</f>
        <v>-16379212</v>
      </c>
    </row>
    <row r="55" spans="1:9" ht="29.45" customHeight="1" x14ac:dyDescent="0.2">
      <c r="A55" s="234" t="s">
        <v>215</v>
      </c>
      <c r="B55" s="234"/>
      <c r="C55" s="234"/>
      <c r="D55" s="234"/>
      <c r="E55" s="234"/>
      <c r="F55" s="234"/>
      <c r="G55" s="69">
        <v>46</v>
      </c>
      <c r="H55" s="72">
        <f>H48+H54</f>
        <v>-15655693</v>
      </c>
      <c r="I55" s="72">
        <f>I48+I54</f>
        <v>-16379212</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2891252</v>
      </c>
      <c r="I57" s="72">
        <f>I27+I42+I55+I56</f>
        <v>-34275031</v>
      </c>
    </row>
    <row r="58" spans="1:9" x14ac:dyDescent="0.2">
      <c r="A58" s="236" t="s">
        <v>218</v>
      </c>
      <c r="B58" s="236"/>
      <c r="C58" s="236"/>
      <c r="D58" s="236"/>
      <c r="E58" s="236"/>
      <c r="F58" s="236"/>
      <c r="G58" s="67">
        <v>49</v>
      </c>
      <c r="H58" s="71">
        <v>77021826</v>
      </c>
      <c r="I58" s="71">
        <v>79913078</v>
      </c>
    </row>
    <row r="59" spans="1:9" ht="31.15" customHeight="1" x14ac:dyDescent="0.2">
      <c r="A59" s="234" t="s">
        <v>219</v>
      </c>
      <c r="B59" s="234"/>
      <c r="C59" s="234"/>
      <c r="D59" s="234"/>
      <c r="E59" s="234"/>
      <c r="F59" s="234"/>
      <c r="G59" s="69">
        <v>50</v>
      </c>
      <c r="H59" s="72">
        <f>H57+H58</f>
        <v>79913078</v>
      </c>
      <c r="I59" s="72">
        <f>I57+I58</f>
        <v>45638047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16" sqref="I1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activeCell="A35" sqref="A35: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45657</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83333935</v>
      </c>
      <c r="I7" s="33">
        <v>39285951</v>
      </c>
      <c r="J7" s="33">
        <v>0</v>
      </c>
      <c r="K7" s="33">
        <v>0</v>
      </c>
      <c r="L7" s="33">
        <v>0</v>
      </c>
      <c r="M7" s="33">
        <v>0</v>
      </c>
      <c r="N7" s="33">
        <v>412239</v>
      </c>
      <c r="O7" s="33">
        <v>0</v>
      </c>
      <c r="P7" s="33">
        <v>-56494</v>
      </c>
      <c r="Q7" s="33">
        <v>0</v>
      </c>
      <c r="R7" s="33">
        <v>0</v>
      </c>
      <c r="S7" s="33">
        <v>0</v>
      </c>
      <c r="T7" s="33">
        <v>0</v>
      </c>
      <c r="U7" s="33">
        <v>-92763964</v>
      </c>
      <c r="V7" s="33">
        <v>-17935484</v>
      </c>
      <c r="W7" s="34">
        <f>H7+I7+J7+K7-L7+M7+N7+O7+P7+Q7+R7+U7+V7+S7+T7</f>
        <v>12276183</v>
      </c>
      <c r="X7" s="33">
        <v>0</v>
      </c>
      <c r="Y7" s="34">
        <f>W7+X7</f>
        <v>12276183</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83333935</v>
      </c>
      <c r="I10" s="34">
        <f t="shared" ref="I10:Y10" si="2">I7+I8+I9</f>
        <v>39285951</v>
      </c>
      <c r="J10" s="34">
        <f t="shared" si="2"/>
        <v>0</v>
      </c>
      <c r="K10" s="34">
        <f>K7+K8+K9</f>
        <v>0</v>
      </c>
      <c r="L10" s="34">
        <f t="shared" si="2"/>
        <v>0</v>
      </c>
      <c r="M10" s="34">
        <f t="shared" si="2"/>
        <v>0</v>
      </c>
      <c r="N10" s="34">
        <f t="shared" si="2"/>
        <v>412239</v>
      </c>
      <c r="O10" s="34">
        <f t="shared" si="2"/>
        <v>0</v>
      </c>
      <c r="P10" s="34">
        <f t="shared" si="2"/>
        <v>-56494</v>
      </c>
      <c r="Q10" s="34">
        <f t="shared" si="2"/>
        <v>0</v>
      </c>
      <c r="R10" s="34">
        <f t="shared" si="2"/>
        <v>0</v>
      </c>
      <c r="S10" s="34">
        <f t="shared" si="2"/>
        <v>0</v>
      </c>
      <c r="T10" s="34">
        <f t="shared" si="2"/>
        <v>0</v>
      </c>
      <c r="U10" s="34">
        <f t="shared" si="2"/>
        <v>-92763964</v>
      </c>
      <c r="V10" s="34">
        <f t="shared" si="2"/>
        <v>-17935484</v>
      </c>
      <c r="W10" s="34">
        <f t="shared" si="2"/>
        <v>12276183</v>
      </c>
      <c r="X10" s="34">
        <f t="shared" si="2"/>
        <v>0</v>
      </c>
      <c r="Y10" s="34">
        <f t="shared" si="2"/>
        <v>12276183</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RDG!H66</f>
        <v>2361792</v>
      </c>
      <c r="W11" s="34">
        <f t="shared" ref="W11:W29" si="3">H11+I11+J11+K11-L11+M11+N11+O11+P11+Q11+R11+U11+V11+S11+T11</f>
        <v>2361792</v>
      </c>
      <c r="X11" s="33">
        <v>0</v>
      </c>
      <c r="Y11" s="34">
        <f t="shared" ref="Y11:Y29" si="4">W11+X11</f>
        <v>2361792</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412184</v>
      </c>
      <c r="P13" s="35">
        <v>0</v>
      </c>
      <c r="Q13" s="35">
        <v>0</v>
      </c>
      <c r="R13" s="35">
        <v>0</v>
      </c>
      <c r="S13" s="33">
        <v>0</v>
      </c>
      <c r="T13" s="33">
        <v>0</v>
      </c>
      <c r="U13" s="33">
        <v>0</v>
      </c>
      <c r="V13" s="33">
        <v>0</v>
      </c>
      <c r="W13" s="34">
        <f t="shared" si="3"/>
        <v>412184</v>
      </c>
      <c r="X13" s="33">
        <v>0</v>
      </c>
      <c r="Y13" s="34">
        <f t="shared" si="4"/>
        <v>412184</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119970</v>
      </c>
      <c r="Q14" s="35">
        <v>0</v>
      </c>
      <c r="R14" s="35">
        <v>0</v>
      </c>
      <c r="S14" s="33">
        <v>0</v>
      </c>
      <c r="T14" s="33">
        <v>0</v>
      </c>
      <c r="U14" s="33">
        <v>0</v>
      </c>
      <c r="V14" s="33">
        <v>0</v>
      </c>
      <c r="W14" s="34">
        <f t="shared" si="3"/>
        <v>119970</v>
      </c>
      <c r="X14" s="33">
        <v>0</v>
      </c>
      <c r="Y14" s="34">
        <f t="shared" si="4"/>
        <v>119970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f>RDG!H101</f>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-30231933</v>
      </c>
      <c r="I19" s="33">
        <v>0</v>
      </c>
      <c r="J19" s="33">
        <v>0</v>
      </c>
      <c r="K19" s="33">
        <v>0</v>
      </c>
      <c r="L19" s="33">
        <v>0</v>
      </c>
      <c r="M19" s="33">
        <v>0</v>
      </c>
      <c r="N19" s="33">
        <v>0</v>
      </c>
      <c r="O19" s="33">
        <v>0</v>
      </c>
      <c r="P19" s="33">
        <v>0</v>
      </c>
      <c r="Q19" s="33">
        <v>0</v>
      </c>
      <c r="R19" s="33">
        <v>0</v>
      </c>
      <c r="S19" s="33">
        <v>0</v>
      </c>
      <c r="T19" s="33">
        <v>0</v>
      </c>
      <c r="U19" s="33">
        <v>30231933</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39285951</v>
      </c>
      <c r="I25" s="33">
        <v>-39285951</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-82</v>
      </c>
      <c r="O27" s="33">
        <v>0</v>
      </c>
      <c r="P27" s="33">
        <v>0</v>
      </c>
      <c r="Q27" s="33">
        <v>0</v>
      </c>
      <c r="R27" s="33">
        <v>0</v>
      </c>
      <c r="S27" s="33">
        <v>0</v>
      </c>
      <c r="T27" s="33">
        <v>0</v>
      </c>
      <c r="U27" s="33">
        <v>0</v>
      </c>
      <c r="V27" s="33">
        <v>0</v>
      </c>
      <c r="W27" s="34">
        <f t="shared" si="3"/>
        <v>-82</v>
      </c>
      <c r="X27" s="33">
        <v>0</v>
      </c>
      <c r="Y27" s="34">
        <f t="shared" si="4"/>
        <v>-82</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f>V10+83</f>
        <v>-17935401</v>
      </c>
      <c r="V28" s="33">
        <v>17935484</v>
      </c>
      <c r="W28" s="34">
        <f t="shared" si="3"/>
        <v>83</v>
      </c>
      <c r="X28" s="33">
        <v>0</v>
      </c>
      <c r="Y28" s="34">
        <f t="shared" si="4"/>
        <v>83</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92387953</v>
      </c>
      <c r="I30" s="36">
        <f t="shared" ref="I30:Y30" si="5">SUM(I10:I29)</f>
        <v>0</v>
      </c>
      <c r="J30" s="36">
        <f t="shared" si="5"/>
        <v>0</v>
      </c>
      <c r="K30" s="36">
        <f t="shared" si="5"/>
        <v>0</v>
      </c>
      <c r="L30" s="36">
        <f t="shared" si="5"/>
        <v>0</v>
      </c>
      <c r="M30" s="36">
        <f t="shared" si="5"/>
        <v>0</v>
      </c>
      <c r="N30" s="36">
        <f t="shared" si="5"/>
        <v>412157</v>
      </c>
      <c r="O30" s="36">
        <f t="shared" si="5"/>
        <v>412184</v>
      </c>
      <c r="P30" s="36">
        <f t="shared" si="5"/>
        <v>63476</v>
      </c>
      <c r="Q30" s="36">
        <f t="shared" si="5"/>
        <v>0</v>
      </c>
      <c r="R30" s="36">
        <f t="shared" si="5"/>
        <v>0</v>
      </c>
      <c r="S30" s="36">
        <f t="shared" si="5"/>
        <v>0</v>
      </c>
      <c r="T30" s="36">
        <f t="shared" si="5"/>
        <v>0</v>
      </c>
      <c r="U30" s="36">
        <f t="shared" si="5"/>
        <v>-80467432</v>
      </c>
      <c r="V30" s="36">
        <f t="shared" si="5"/>
        <v>2361792</v>
      </c>
      <c r="W30" s="36">
        <f t="shared" si="5"/>
        <v>15170130</v>
      </c>
      <c r="X30" s="36">
        <f t="shared" si="5"/>
        <v>0</v>
      </c>
      <c r="Y30" s="36">
        <f t="shared" si="5"/>
        <v>15170130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-30231933</v>
      </c>
      <c r="I32" s="34">
        <f t="shared" ref="I32:Y32" si="6">SUM(I12:I20)</f>
        <v>0</v>
      </c>
      <c r="J32" s="34">
        <f t="shared" si="6"/>
        <v>0</v>
      </c>
      <c r="K32" s="34">
        <f t="shared" si="6"/>
        <v>0</v>
      </c>
      <c r="L32" s="34">
        <f t="shared" si="6"/>
        <v>0</v>
      </c>
      <c r="M32" s="34">
        <f t="shared" si="6"/>
        <v>0</v>
      </c>
      <c r="N32" s="34">
        <f t="shared" si="6"/>
        <v>0</v>
      </c>
      <c r="O32" s="34">
        <f t="shared" si="6"/>
        <v>412184</v>
      </c>
      <c r="P32" s="34">
        <f t="shared" si="6"/>
        <v>119970</v>
      </c>
      <c r="Q32" s="34">
        <f t="shared" si="6"/>
        <v>0</v>
      </c>
      <c r="R32" s="34">
        <f t="shared" si="6"/>
        <v>0</v>
      </c>
      <c r="S32" s="34">
        <f t="shared" ref="S32:T32" si="7">SUM(S12:S20)</f>
        <v>0</v>
      </c>
      <c r="T32" s="34">
        <f t="shared" si="7"/>
        <v>0</v>
      </c>
      <c r="U32" s="34">
        <f t="shared" si="6"/>
        <v>30231933</v>
      </c>
      <c r="V32" s="34">
        <f t="shared" si="6"/>
        <v>0</v>
      </c>
      <c r="W32" s="34">
        <f t="shared" si="6"/>
        <v>532154</v>
      </c>
      <c r="X32" s="34">
        <f t="shared" si="6"/>
        <v>0</v>
      </c>
      <c r="Y32" s="34">
        <f t="shared" si="6"/>
        <v>532154</v>
      </c>
    </row>
    <row r="33" spans="1:25" ht="31.5" customHeight="1" x14ac:dyDescent="0.2">
      <c r="A33" s="267" t="s">
        <v>428</v>
      </c>
      <c r="B33" s="267"/>
      <c r="C33" s="267"/>
      <c r="D33" s="267"/>
      <c r="E33" s="267"/>
      <c r="F33" s="267"/>
      <c r="G33" s="7">
        <v>26</v>
      </c>
      <c r="H33" s="34">
        <f>H11+H32</f>
        <v>-30231933</v>
      </c>
      <c r="I33" s="34">
        <f t="shared" ref="I33:Y33" si="8">I11+I32</f>
        <v>0</v>
      </c>
      <c r="J33" s="34">
        <f t="shared" si="8"/>
        <v>0</v>
      </c>
      <c r="K33" s="34">
        <f t="shared" si="8"/>
        <v>0</v>
      </c>
      <c r="L33" s="34">
        <f t="shared" si="8"/>
        <v>0</v>
      </c>
      <c r="M33" s="34">
        <f t="shared" si="8"/>
        <v>0</v>
      </c>
      <c r="N33" s="34">
        <f t="shared" si="8"/>
        <v>0</v>
      </c>
      <c r="O33" s="34">
        <f t="shared" si="8"/>
        <v>412184</v>
      </c>
      <c r="P33" s="34">
        <f t="shared" si="8"/>
        <v>119970</v>
      </c>
      <c r="Q33" s="34">
        <f t="shared" si="8"/>
        <v>0</v>
      </c>
      <c r="R33" s="34">
        <f t="shared" si="8"/>
        <v>0</v>
      </c>
      <c r="S33" s="34">
        <f t="shared" ref="S33:T33" si="9">S11+S32</f>
        <v>0</v>
      </c>
      <c r="T33" s="34">
        <f t="shared" si="9"/>
        <v>0</v>
      </c>
      <c r="U33" s="34">
        <f t="shared" si="8"/>
        <v>30231933</v>
      </c>
      <c r="V33" s="34">
        <f t="shared" si="8"/>
        <v>2361792</v>
      </c>
      <c r="W33" s="34">
        <f t="shared" si="8"/>
        <v>2893946</v>
      </c>
      <c r="X33" s="34">
        <f t="shared" si="8"/>
        <v>0</v>
      </c>
      <c r="Y33" s="34">
        <f t="shared" si="8"/>
        <v>2893946</v>
      </c>
    </row>
    <row r="34" spans="1:25" ht="30.75" customHeight="1" x14ac:dyDescent="0.2">
      <c r="A34" s="268" t="s">
        <v>429</v>
      </c>
      <c r="B34" s="268"/>
      <c r="C34" s="268"/>
      <c r="D34" s="268"/>
      <c r="E34" s="268"/>
      <c r="F34" s="268"/>
      <c r="G34" s="8">
        <v>27</v>
      </c>
      <c r="H34" s="36">
        <f>SUM(H21:H29)</f>
        <v>39285951</v>
      </c>
      <c r="I34" s="36">
        <f t="shared" ref="I34:Y34" si="10">SUM(I21:I29)</f>
        <v>-39285951</v>
      </c>
      <c r="J34" s="36">
        <f t="shared" si="10"/>
        <v>0</v>
      </c>
      <c r="K34" s="36">
        <f t="shared" si="10"/>
        <v>0</v>
      </c>
      <c r="L34" s="36">
        <f t="shared" si="10"/>
        <v>0</v>
      </c>
      <c r="M34" s="36">
        <f t="shared" si="10"/>
        <v>0</v>
      </c>
      <c r="N34" s="36">
        <f t="shared" si="10"/>
        <v>-82</v>
      </c>
      <c r="O34" s="36">
        <f t="shared" si="10"/>
        <v>0</v>
      </c>
      <c r="P34" s="36">
        <f t="shared" si="10"/>
        <v>0</v>
      </c>
      <c r="Q34" s="36">
        <f t="shared" si="10"/>
        <v>0</v>
      </c>
      <c r="R34" s="36">
        <f t="shared" si="10"/>
        <v>0</v>
      </c>
      <c r="S34" s="36">
        <f t="shared" ref="S34:T34" si="11">SUM(S21:S29)</f>
        <v>0</v>
      </c>
      <c r="T34" s="36">
        <f t="shared" si="11"/>
        <v>0</v>
      </c>
      <c r="U34" s="36">
        <f t="shared" si="10"/>
        <v>-17935401</v>
      </c>
      <c r="V34" s="36">
        <f t="shared" si="10"/>
        <v>17935484</v>
      </c>
      <c r="W34" s="36">
        <f t="shared" si="10"/>
        <v>1</v>
      </c>
      <c r="X34" s="36">
        <f t="shared" si="10"/>
        <v>0</v>
      </c>
      <c r="Y34" s="36">
        <f t="shared" si="10"/>
        <v>1</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92387953</v>
      </c>
      <c r="I36" s="33">
        <f>Bilanca!H77</f>
        <v>0</v>
      </c>
      <c r="J36" s="33">
        <v>0</v>
      </c>
      <c r="K36" s="33">
        <v>0</v>
      </c>
      <c r="L36" s="33">
        <v>0</v>
      </c>
      <c r="M36" s="33">
        <v>0</v>
      </c>
      <c r="N36" s="33">
        <f>Bilanca!H83</f>
        <v>412157</v>
      </c>
      <c r="O36" s="33">
        <f>Bilanca!H84</f>
        <v>412184</v>
      </c>
      <c r="P36" s="33">
        <f>Bilanca!H86</f>
        <v>63476</v>
      </c>
      <c r="Q36" s="33">
        <v>0</v>
      </c>
      <c r="R36" s="33">
        <v>0</v>
      </c>
      <c r="S36" s="33">
        <v>0</v>
      </c>
      <c r="T36" s="33">
        <v>0</v>
      </c>
      <c r="U36" s="33">
        <f>Bilanca!H91</f>
        <v>-80467432</v>
      </c>
      <c r="V36" s="33">
        <f>Bilanca!H94</f>
        <v>2361792</v>
      </c>
      <c r="W36" s="37">
        <f>H36+I36+J36+K36-L36+M36+N36+O36+P36+Q36+R36+U36+V36+S36+T36</f>
        <v>15170130</v>
      </c>
      <c r="X36" s="33">
        <v>0</v>
      </c>
      <c r="Y36" s="37">
        <f t="shared" ref="Y36:Y38" si="12">W36+X36</f>
        <v>15170130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92387953</v>
      </c>
      <c r="I39" s="34">
        <f t="shared" ref="I39:Y39" si="14">I36+I37+I38</f>
        <v>0</v>
      </c>
      <c r="J39" s="34">
        <f t="shared" si="14"/>
        <v>0</v>
      </c>
      <c r="K39" s="34">
        <f t="shared" si="14"/>
        <v>0</v>
      </c>
      <c r="L39" s="34">
        <f t="shared" si="14"/>
        <v>0</v>
      </c>
      <c r="M39" s="34">
        <f t="shared" si="14"/>
        <v>0</v>
      </c>
      <c r="N39" s="34">
        <f t="shared" si="14"/>
        <v>412157</v>
      </c>
      <c r="O39" s="34">
        <f t="shared" si="14"/>
        <v>412184</v>
      </c>
      <c r="P39" s="34">
        <f t="shared" si="14"/>
        <v>63476</v>
      </c>
      <c r="Q39" s="34">
        <f t="shared" si="14"/>
        <v>0</v>
      </c>
      <c r="R39" s="34">
        <f t="shared" si="14"/>
        <v>0</v>
      </c>
      <c r="S39" s="34">
        <f t="shared" si="14"/>
        <v>0</v>
      </c>
      <c r="T39" s="34">
        <f t="shared" si="14"/>
        <v>0</v>
      </c>
      <c r="U39" s="34">
        <f t="shared" si="14"/>
        <v>-80467432</v>
      </c>
      <c r="V39" s="34">
        <f t="shared" si="14"/>
        <v>2361792</v>
      </c>
      <c r="W39" s="34">
        <f t="shared" si="14"/>
        <v>15170130</v>
      </c>
      <c r="X39" s="34">
        <f t="shared" si="14"/>
        <v>0</v>
      </c>
      <c r="Y39" s="34">
        <f t="shared" si="14"/>
        <v>15170130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RDG!J66</f>
        <v>-19402806</v>
      </c>
      <c r="W40" s="37">
        <f t="shared" ref="W40:W58" si="15">H40+I40+J40+K40-L40+M40+N40+O40+P40+Q40+R40+U40+V40+S40+T40</f>
        <v>-19402806</v>
      </c>
      <c r="X40" s="33">
        <v>0</v>
      </c>
      <c r="Y40" s="37">
        <f t="shared" ref="Y40:Y58" si="16">W40+X40</f>
        <v>-19402806</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f>RDG!J92</f>
        <v>8053474</v>
      </c>
      <c r="P42" s="35">
        <v>0</v>
      </c>
      <c r="Q42" s="35">
        <v>0</v>
      </c>
      <c r="R42" s="35">
        <v>0</v>
      </c>
      <c r="S42" s="33">
        <v>0</v>
      </c>
      <c r="T42" s="33">
        <v>0</v>
      </c>
      <c r="U42" s="33">
        <v>0</v>
      </c>
      <c r="V42" s="33">
        <v>0</v>
      </c>
      <c r="W42" s="37">
        <f t="shared" si="15"/>
        <v>8053474</v>
      </c>
      <c r="X42" s="33">
        <v>0</v>
      </c>
      <c r="Y42" s="37">
        <f t="shared" si="16"/>
        <v>8053474</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f>RDG!J106</f>
        <v>-63476</v>
      </c>
      <c r="Q43" s="35">
        <v>0</v>
      </c>
      <c r="R43" s="35">
        <v>0</v>
      </c>
      <c r="S43" s="33">
        <v>0</v>
      </c>
      <c r="T43" s="33">
        <v>0</v>
      </c>
      <c r="U43" s="33">
        <v>0</v>
      </c>
      <c r="V43" s="33">
        <v>0</v>
      </c>
      <c r="W43" s="37">
        <f t="shared" si="15"/>
        <v>-63476</v>
      </c>
      <c r="X43" s="33">
        <v>0</v>
      </c>
      <c r="Y43" s="37">
        <f t="shared" si="16"/>
        <v>-63476</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f>I36</f>
        <v>0</v>
      </c>
      <c r="I54" s="33">
        <f>I36*-1</f>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f>Bilanca!I83-N36</f>
        <v>133550</v>
      </c>
      <c r="O57" s="33">
        <v>0</v>
      </c>
      <c r="P57" s="33">
        <v>0</v>
      </c>
      <c r="Q57" s="33">
        <v>0</v>
      </c>
      <c r="R57" s="33">
        <v>0</v>
      </c>
      <c r="S57" s="33">
        <v>0</v>
      </c>
      <c r="T57" s="33">
        <v>0</v>
      </c>
      <c r="U57" s="33">
        <f>2180767+47456</f>
        <v>2228223</v>
      </c>
      <c r="V57" s="33">
        <f>V36*-1</f>
        <v>-2361792</v>
      </c>
      <c r="W57" s="37">
        <f t="shared" si="15"/>
        <v>-19</v>
      </c>
      <c r="X57" s="33">
        <v>0</v>
      </c>
      <c r="Y57" s="37">
        <f t="shared" si="16"/>
        <v>-19</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92387953</v>
      </c>
      <c r="I59" s="36">
        <f t="shared" ref="I59:Y59" si="17">SUM(I39:I58)</f>
        <v>0</v>
      </c>
      <c r="J59" s="36">
        <f t="shared" si="17"/>
        <v>0</v>
      </c>
      <c r="K59" s="36">
        <f t="shared" si="17"/>
        <v>0</v>
      </c>
      <c r="L59" s="36">
        <f t="shared" si="17"/>
        <v>0</v>
      </c>
      <c r="M59" s="36">
        <f t="shared" si="17"/>
        <v>0</v>
      </c>
      <c r="N59" s="36">
        <f t="shared" si="17"/>
        <v>545707</v>
      </c>
      <c r="O59" s="36">
        <f t="shared" si="17"/>
        <v>8465658</v>
      </c>
      <c r="P59" s="36">
        <f t="shared" si="17"/>
        <v>0</v>
      </c>
      <c r="Q59" s="36">
        <f t="shared" si="17"/>
        <v>0</v>
      </c>
      <c r="R59" s="36">
        <f t="shared" si="17"/>
        <v>0</v>
      </c>
      <c r="S59" s="36">
        <f t="shared" si="17"/>
        <v>0</v>
      </c>
      <c r="T59" s="36">
        <f t="shared" si="17"/>
        <v>0</v>
      </c>
      <c r="U59" s="36">
        <f t="shared" si="17"/>
        <v>-78239209</v>
      </c>
      <c r="V59" s="36">
        <f t="shared" si="17"/>
        <v>-19402806</v>
      </c>
      <c r="W59" s="36">
        <f t="shared" si="17"/>
        <v>3757303</v>
      </c>
      <c r="X59" s="36">
        <f t="shared" si="17"/>
        <v>0</v>
      </c>
      <c r="Y59" s="36">
        <f t="shared" si="17"/>
        <v>3757303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8053474</v>
      </c>
      <c r="P61" s="37">
        <f t="shared" si="18"/>
        <v>-63476</v>
      </c>
      <c r="Q61" s="37">
        <f t="shared" si="18"/>
        <v>0</v>
      </c>
      <c r="R61" s="37">
        <f t="shared" si="18"/>
        <v>0</v>
      </c>
      <c r="S61" s="37">
        <f t="shared" ref="S61:T61" si="19">SUM(S41:S49)</f>
        <v>0</v>
      </c>
      <c r="T61" s="37">
        <f t="shared" si="19"/>
        <v>0</v>
      </c>
      <c r="U61" s="37">
        <f t="shared" si="18"/>
        <v>0</v>
      </c>
      <c r="V61" s="37">
        <f t="shared" si="18"/>
        <v>0</v>
      </c>
      <c r="W61" s="37">
        <f t="shared" si="18"/>
        <v>7989998</v>
      </c>
      <c r="X61" s="37">
        <f t="shared" si="18"/>
        <v>0</v>
      </c>
      <c r="Y61" s="37">
        <f t="shared" si="18"/>
        <v>7989998</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8053474</v>
      </c>
      <c r="P62" s="37">
        <f t="shared" si="20"/>
        <v>-63476</v>
      </c>
      <c r="Q62" s="37">
        <f t="shared" si="20"/>
        <v>0</v>
      </c>
      <c r="R62" s="37">
        <f t="shared" si="20"/>
        <v>0</v>
      </c>
      <c r="S62" s="37">
        <f t="shared" ref="S62:T62" si="21">S40+S61</f>
        <v>0</v>
      </c>
      <c r="T62" s="37">
        <f t="shared" si="21"/>
        <v>0</v>
      </c>
      <c r="U62" s="37">
        <f t="shared" si="20"/>
        <v>0</v>
      </c>
      <c r="V62" s="37">
        <f t="shared" si="20"/>
        <v>-19402806</v>
      </c>
      <c r="W62" s="37">
        <f t="shared" si="20"/>
        <v>-11412808</v>
      </c>
      <c r="X62" s="37">
        <f t="shared" si="20"/>
        <v>0</v>
      </c>
      <c r="Y62" s="37">
        <f t="shared" si="20"/>
        <v>-11412808</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133550</v>
      </c>
      <c r="O63" s="38">
        <f t="shared" si="22"/>
        <v>0</v>
      </c>
      <c r="P63" s="38">
        <f t="shared" si="22"/>
        <v>0</v>
      </c>
      <c r="Q63" s="38">
        <f t="shared" si="22"/>
        <v>0</v>
      </c>
      <c r="R63" s="38">
        <f t="shared" si="22"/>
        <v>0</v>
      </c>
      <c r="S63" s="38">
        <f t="shared" ref="S63:T63" si="23">SUM(S50:S58)</f>
        <v>0</v>
      </c>
      <c r="T63" s="38">
        <f t="shared" si="23"/>
        <v>0</v>
      </c>
      <c r="U63" s="38">
        <f t="shared" si="22"/>
        <v>2228223</v>
      </c>
      <c r="V63" s="38">
        <f t="shared" si="22"/>
        <v>-2361792</v>
      </c>
      <c r="W63" s="38">
        <f t="shared" si="22"/>
        <v>-19</v>
      </c>
      <c r="X63" s="38">
        <f t="shared" si="22"/>
        <v>0</v>
      </c>
      <c r="Y63" s="38">
        <f t="shared" si="22"/>
        <v>-19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474</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2025-02-28T07:58:34Z</cp:lastPrinted>
  <dcterms:created xsi:type="dcterms:W3CDTF">2008-10-17T11:51:54Z</dcterms:created>
  <dcterms:modified xsi:type="dcterms:W3CDTF">2025-02-28T08:03:25Z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