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aveExternalLinkValues="0" codeName="ThisWorkbook" defaultThemeVersion="124226"/>
  <mc:AlternateContent xmlns:mc="http://schemas.openxmlformats.org/markup-compatibility/2006">
    <mc:Choice Requires="x15">
      <x15ac:absPath xmlns:x15ac="http://schemas.microsoft.com/office/spreadsheetml/2010/11/ac" url="Y:\JAVNA OBJAVA\2026 JAVNA OBJAVA ZTK\2. kvartal  2026\1-6 2026 GRUPA\"/>
    </mc:Choice>
  </mc:AlternateContent>
  <xr:revisionPtr revIDLastSave="0" documentId="13_ncr:1_{3621651F-7774-4C30-9885-F35FBAD9EBB9}" xr6:coauthVersionLast="47" xr6:coauthVersionMax="47" xr10:uidLastSave="{00000000-0000-0000-0000-000000000000}"/>
  <bookViews>
    <workbookView xWindow="-120" yWindow="-120" windowWidth="29040" windowHeight="15720"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4" i="26" l="1"/>
  <c r="J44" i="26"/>
  <c r="I71" i="18"/>
  <c r="I89" i="26"/>
  <c r="V57" i="22"/>
  <c r="I76" i="18"/>
  <c r="K47" i="26"/>
  <c r="K52" i="26"/>
  <c r="K45" i="26"/>
  <c r="C29" i="25"/>
  <c r="I56" i="22"/>
  <c r="H56" i="22"/>
  <c r="I17" i="18"/>
  <c r="K51" i="26"/>
  <c r="K36" i="26"/>
  <c r="K25" i="26"/>
  <c r="K24" i="26"/>
  <c r="K23" i="26"/>
  <c r="K22" i="26"/>
  <c r="K21" i="26"/>
  <c r="K19" i="26"/>
  <c r="K18" i="26"/>
  <c r="K17" i="26"/>
  <c r="K13" i="26"/>
  <c r="K10" i="26"/>
  <c r="I52" i="26"/>
  <c r="I51" i="26"/>
  <c r="I49" i="26"/>
  <c r="I45" i="26"/>
  <c r="I44" i="26"/>
  <c r="I36" i="26"/>
  <c r="I25" i="26"/>
  <c r="I24" i="26"/>
  <c r="I23" i="26"/>
  <c r="I22" i="26"/>
  <c r="I21" i="26"/>
  <c r="I19" i="26"/>
  <c r="I17" i="26"/>
  <c r="I13" i="26"/>
  <c r="I10" i="26"/>
  <c r="W57" i="22"/>
  <c r="K114" i="26"/>
  <c r="K100" i="26"/>
  <c r="K101" i="26"/>
  <c r="K102" i="26"/>
  <c r="K103" i="26"/>
  <c r="K104" i="26"/>
  <c r="K105" i="26"/>
  <c r="K106" i="26"/>
  <c r="K107" i="26"/>
  <c r="K108" i="26"/>
  <c r="K99" i="26"/>
  <c r="K93" i="26"/>
  <c r="K94" i="26"/>
  <c r="K95" i="26"/>
  <c r="K96" i="26"/>
  <c r="K97" i="26"/>
  <c r="K92" i="26"/>
  <c r="K87" i="26"/>
  <c r="K79" i="26"/>
  <c r="K78" i="26"/>
  <c r="K73" i="26"/>
  <c r="K50" i="26"/>
  <c r="K53" i="26"/>
  <c r="K54" i="26"/>
  <c r="K55" i="26"/>
  <c r="K56" i="26"/>
  <c r="K57" i="26"/>
  <c r="K58" i="26"/>
  <c r="K59" i="26"/>
  <c r="K49" i="26"/>
  <c r="K39" i="26"/>
  <c r="K40" i="26"/>
  <c r="K41" i="26"/>
  <c r="K42" i="26"/>
  <c r="K43" i="26"/>
  <c r="K46" i="26"/>
  <c r="K38" i="26"/>
  <c r="K31" i="26"/>
  <c r="K32" i="26"/>
  <c r="K33" i="26"/>
  <c r="K34" i="26"/>
  <c r="K35" i="26"/>
  <c r="K30" i="26"/>
  <c r="K28" i="26"/>
  <c r="K27" i="26"/>
  <c r="K15" i="26"/>
  <c r="K11" i="26"/>
  <c r="K12" i="26"/>
  <c r="K9" i="26"/>
  <c r="I92" i="26"/>
  <c r="I50" i="26"/>
  <c r="I47" i="26"/>
  <c r="I46" i="26"/>
  <c r="I41" i="26"/>
  <c r="I35" i="26"/>
  <c r="I32" i="26"/>
  <c r="I30" i="26"/>
  <c r="I28" i="26"/>
  <c r="I18" i="26"/>
  <c r="I12" i="26"/>
  <c r="I11" i="26"/>
  <c r="H77" i="18" l="1"/>
  <c r="H76" i="18"/>
  <c r="H91" i="26" l="1"/>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J109" i="26" l="1"/>
  <c r="K109" i="26"/>
  <c r="I109" i="26"/>
  <c r="H109" i="26"/>
  <c r="X10" i="22"/>
  <c r="X30" i="22" s="1"/>
  <c r="X39" i="22"/>
  <c r="X61" i="22"/>
  <c r="X63" i="22"/>
  <c r="X34" i="22"/>
  <c r="X32" i="22"/>
  <c r="X33" i="22" s="1"/>
  <c r="K90" i="26" l="1"/>
  <c r="J9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6" i="26" s="1"/>
  <c r="I63" i="26"/>
  <c r="K63" i="26"/>
  <c r="J64" i="26"/>
  <c r="K64" i="26"/>
  <c r="J62" i="26"/>
  <c r="J67" i="26" s="1"/>
  <c r="J63" i="26"/>
  <c r="H63" i="26"/>
  <c r="K62" i="26"/>
  <c r="K66" i="26" s="1"/>
  <c r="K86" i="26" s="1"/>
  <c r="H62" i="26"/>
  <c r="H68" i="26" s="1"/>
  <c r="H64" i="26"/>
  <c r="I51" i="21"/>
  <c r="I53" i="21" s="1"/>
  <c r="H51" i="21"/>
  <c r="H53" i="21" s="1"/>
  <c r="K85" i="26" l="1"/>
  <c r="K89" i="26"/>
  <c r="K110" i="26" s="1"/>
  <c r="I85" i="26"/>
  <c r="I110" i="26"/>
  <c r="I113" i="26" s="1"/>
  <c r="I112" i="26" s="1"/>
  <c r="I67" i="26"/>
  <c r="I68" i="26"/>
  <c r="J66" i="26"/>
  <c r="J68" i="26"/>
  <c r="K67" i="26"/>
  <c r="K68" i="26"/>
  <c r="H66" i="26"/>
  <c r="H86" i="26" s="1"/>
  <c r="H67" i="26"/>
  <c r="W40" i="22" l="1"/>
  <c r="X40" i="22" s="1"/>
  <c r="I8" i="20"/>
  <c r="J86" i="26"/>
  <c r="X62" i="22"/>
  <c r="X59" i="22"/>
  <c r="H85" i="26"/>
  <c r="H89" i="26"/>
  <c r="H110" i="26" s="1"/>
  <c r="H113" i="26" s="1"/>
  <c r="H112" i="26" s="1"/>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J85" i="26" l="1"/>
  <c r="J89" i="26"/>
  <c r="J110" i="26" s="1"/>
  <c r="J113" i="26" s="1"/>
  <c r="H42" i="20"/>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0" i="18"/>
  <c r="K113" i="26" l="1"/>
  <c r="K112" i="26" s="1"/>
  <c r="J112" i="26"/>
  <c r="H57" i="20"/>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<sst xmlns="http://schemas.openxmlformats.org/spreadsheetml/2006/main" count="541" uniqueCount="477">
  <si>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</si>
  <si>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</si>
  <si>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</si>
  <si>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</si>
  <si>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</si>
  <si>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</si>
  <si>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</si>
  <si>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</si>
  <si>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</si>
  <si>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</si>
  <si>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</si>
  <si>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</si>
  <si>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</si>
  <si>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</si>
  <si>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</si>
  <si>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</si>
  <si>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</si>
  <si>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</si>
  <si>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</si>
  <si>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</si>
  <si>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</si>
  <si>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</si>
  <si>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</si>
  <si>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</si>
  <si>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</si>
  <si>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</si>
  <si>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</si>
  <si>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</si>
  <si>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</si>
  <si>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</si>
  <si>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</si>
  <si>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</si>
  <si>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</si>
  <si>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</si>
  <si>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</si>
  <si>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</si>
  <si>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</si>
  <si>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</si>
  <si>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</si>
  <si>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</si>
  <si>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</si>
  <si>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</si>
  <si>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</si>
  <si>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</si>
  <si>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</si>
  <si>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</si>
  <si>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</si>
  <si>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</si>
  <si>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</si>
  <si>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</si>
  <si>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</si>
  <si>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</si>
  <si>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</si>
  <si>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</si>
  <si>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</si>
  <si>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</si>
  <si>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</si>
  <si>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</si>
  <si>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</si>
  <si>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</si>
  <si>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</si>
  <si>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</si>
  <si>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</si>
  <si>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</si>
  <si>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</si>
  <si>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</si>
  <si>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</si>
  <si>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</si>
  <si>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</si>
  <si>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</si>
  <si>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</si>
  <si>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</si>
  <si>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</si>
  <si>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</si>
  <si>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</si>
  <si>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</si>
  <si>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</si>
  <si>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</si>
  <si>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</si>
  <si>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</si>
  <si>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</si>
  <si>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</si>
  <si>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</si>
  <si>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</si>
  <si>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</si>
  <si>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</si>
  <si>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</si>
  <si>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</si>
  <si>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</si>
  <si>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</si>
  <si>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</si>
  <si>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</si>
  <si>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</si>
  <si>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</si>
  <si>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</si>
  <si>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</si>
  <si>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</si>
  <si>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</si>
  <si>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</si>
  <si>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</si>
  <si>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</si>
  <si>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</si>
  <si>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</si>
  <si>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</si>
  <si>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</si>
  <si>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</si>
  <si>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</si>
  <si>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</si>
  <si>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</si>
  <si>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</si>
  <si>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</si>
  <si>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</si>
  <si>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</si>
  <si>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</si>
  <si>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</si>
  <si>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</si>
  <si>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</si>
  <si>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</si>
  <si>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</si>
  <si>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</si>
  <si>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</si>
  <si>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</si>
  <si>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</si>
  <si>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</si>
  <si>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</si>
  <si>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</si>
  <si>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</si>
  <si>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</si>
  <si>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</si>
  <si>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</si>
  <si>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</si>
  <si>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</si>
  <si>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</si>
  <si>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</si>
  <si>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</si>
  <si>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</si>
  <si>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</si>
  <si>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</si>
  <si>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</si>
  <si>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</si>
  <si>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</si>
  <si>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</si>
  <si>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</si>
  <si>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</si>
  <si>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</si>
  <si>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</si>
  <si>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</si>
  <si>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</si>
  <si>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</si>
  <si>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</si>
  <si>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</si>
  <si>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</si>
  <si>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</si>
  <si>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</si>
  <si>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</si>
  <si>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</si>
  <si>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</si>
  <si>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</si>
  <si>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</si>
  <si>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</si>
  <si>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</si>
  <si>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</si>
  <si>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</si>
  <si>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</si>
  <si>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</si>
  <si>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</si>
  <si>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</si>
  <si>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</si>
  <si>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</si>
  <si>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</si>
  <si>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</si>
  <si>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</si>
  <si>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</si>
  <si>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</si>
  <si>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</si>
  <si>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</si>
  <si>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</si>
  <si>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</si>
  <si>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</si>
  <si>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</si>
  <si>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</si>
  <si>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</si>
  <si>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</si>
  <si>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</si>
  <si>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</si>
  <si>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</si>
  <si>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</si>
  <si>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</si>
  <si>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</si>
  <si>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</si>
  <si>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</si>
  <si>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</si>
  <si>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</si>
  <si>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</si>
  <si>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</si>
  <si>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</si>
  <si>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</si>
  <si>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</si>
  <si>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</si>
  <si>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</si>
  <si>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</si>
  <si>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</si>
  <si>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</si>
  <si>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</si>
  <si>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</si>
  <si>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</si>
  <si>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</si>
  <si>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</si>
  <si>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</si>
  <si>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</si>
  <si>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</si>
  <si>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</si>
  <si>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</si>
  <si>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</si>
  <si>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</si>
  <si>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</si>
  <si>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</si>
  <si>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</si>
  <si>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</si>
  <si>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</si>
  <si>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</si>
  <si>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</si>
  <si>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</si>
  <si>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</si>
  <si>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</si>
  <si>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</si>
  <si>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</si>
  <si>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</si>
  <si>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</si>
  <si>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</si>
  <si>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</si>
  <si>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</si>
  <si>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</si>
  <si>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</si>
  <si>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</si>
  <si>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</si>
  <si>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</si>
  <si>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</si>
  <si>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</si>
  <si>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</si>
  <si>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</si>
  <si>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</si>
  <si>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</si>
  <si>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</si>
  <si>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</si>
  <si>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</si>
  <si>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</si>
  <si>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</si>
  <si>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</si>
  <si>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</si>
  <si>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</si>
  <si>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</si>
  <si>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</si>
  <si>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</si>
  <si>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</si>
  <si>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</si>
  <si>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</si>
  <si>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</si>
  <si>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</si>
  <si>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</si>
  <si>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</si>
  <si>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</si>
  <si>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</si>
  <si>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</si>
  <si>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</si>
  <si>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</si>
  <si>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</si>
  <si>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</si>
  <si>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</si>
  <si>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</si>
  <si>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</si>
  <si>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</si>
  <si>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</si>
  <si>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</si>
  <si>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</si>
  <si>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</si>
  <si>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</si>
  <si>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</si>
  <si>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</si>
  <si>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</si>
  <si>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</si>
  <si>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</si>
  <si>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</si>
  <si>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</si>
  <si>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</si>
  <si>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</si>
  <si>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</si>
  <si>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</si>
  <si>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</si>
  <si>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</si>
  <si>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</si>
  <si>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</si>
  <si>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</si>
  <si>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</si>
  <si>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</si>
  <si>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</si>
  <si>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</si>
  <si>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</si>
  <si>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</si>
  <si>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</si>
  <si>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</si>
  <si>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</si>
  <si>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</si>
  <si>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</si>
  <si>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</si>
  <si>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</si>
  <si>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</si>
  <si>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</si>
  <si>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</si>
  <si>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</si>
  <si>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</si>
  <si>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</si>
  <si>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</si>
  <si>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</si>
  <si>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</si>
  <si>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</si>
  <si>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</si>
  <si>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</si>
  <si>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</si>
  <si>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</si>
  <si>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</si>
  <si>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</si>
  <si>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</si>
  <si>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</si>
  <si>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</si>
  <si>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</si>
  <si>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</si>
  <si>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</si>
  <si>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</si>
  <si>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</si>
  <si>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</si>
  <si>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</si>
  <si>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</si>
  <si>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</si>
  <si>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</si>
  <si>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</si>
  <si>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</si>
  <si>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</si>
  <si>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</si>
  <si>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</si>
  <si>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</si>
  <si>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</si>
  <si>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</si>
  <si>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</si>
  <si>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</si>
  <si>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</si>
  <si>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</si>
  <si>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</si>
  <si>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</si>
  <si>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</si>
  <si>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</si>
  <si>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</si>
  <si>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</si>
  <si>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</si>
  <si>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</si>
  <si>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</si>
  <si>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</si>
  <si>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</si>
  <si>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</si>
  <si>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</si>
  <si>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</si>
  <si>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</si>
  <si>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</si>
  <si>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</si>
  <si>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</si>
  <si>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</si>
  <si>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</si>
  <si>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</si>
  <si>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</si>
  <si>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</si>
  <si>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</si>
  <si>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</si>
  <si>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</si>
  <si>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</si>
  <si>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</si>
  <si>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</si>
  <si>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</si>
  <si>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</si>
  <si>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</si>
  <si>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</si>
  <si>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</si>
  <si>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</si>
  <si>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</si>
  <si>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</si>
  <si>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</si>
  <si>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</si>
  <si>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</si>
  <si>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</si>
  <si>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</si>
  <si>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</si>
  <si>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</si>
  <si>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</si>
  <si>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</si>
  <si>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</si>
  <si>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</si>
  <si>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</si>
  <si>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</si>
  <si>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</si>
  <si>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</si>
  <si>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</si>
  <si>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</si>
  <si>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</si>
  <si>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</si>
  <si>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</si>
  <si>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</si>
  <si>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</si>
  <si>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</si>
  <si>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</si>
  <si>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</si>
  <si>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</si>
  <si>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</si>
  <si>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</si>
  <si>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</si>
  <si>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</si>
  <si>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</si>
  <si>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</si>
  <si>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</si>
  <si>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</si>
  <si>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</si>
  <si>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</si>
  <si>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</si>
  <si>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</si>
  <si>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</si>
  <si>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</si>
  <si>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</si>
  <si>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</si>
  <si>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</si>
  <si>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</si>
  <si>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</si>
  <si>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</si>
  <si>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</si>
  <si>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</si>
  <si>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</si>
  <si>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</si>
  <si>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</si>
  <si>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</si>
  <si>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</si>
  <si>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</si>
  <si>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</si>
  <si>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</si>
  <si>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</si>
  <si>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</si>
  <si>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</si>
  <si>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</si>
  <si>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</si>
  <si>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</si>
  <si>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</si>
  <si>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</si>
  <si>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</si>
  <si>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</si>
  <si>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</si>
  <si>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03298744</t>
  </si>
  <si>
    <t>HR</t>
  </si>
  <si>
    <t>080037012</t>
  </si>
  <si>
    <t>24640993045</t>
  </si>
  <si>
    <t>637</t>
  </si>
  <si>
    <t>CROATIA AIRLINES d.d.</t>
  </si>
  <si>
    <t>ZAGREB</t>
  </si>
  <si>
    <t>BANI 75 b</t>
  </si>
  <si>
    <t>uprava@croatiaairlines.hr</t>
  </si>
  <si>
    <t>www.croatiaairlines.hr</t>
  </si>
  <si>
    <t>AMADEUS CROATIA d.d.</t>
  </si>
  <si>
    <t>OBZOR PUTOVANJA d.o.o</t>
  </si>
  <si>
    <t>Zagreb, Božidara Adžije 19</t>
  </si>
  <si>
    <t>Zagreb, Teslina ulica 5</t>
  </si>
  <si>
    <t>DIJANA JANUŠIĆ</t>
  </si>
  <si>
    <t>01/6160049</t>
  </si>
  <si>
    <t>dijana.janusic@croatiaairlines.hr</t>
  </si>
  <si>
    <t>BDO CROATIA d.o.o</t>
  </si>
  <si>
    <t>VEDRANA STIPIĆ</t>
  </si>
  <si>
    <t>Obveznik: CROATIA AIRLINES GRUPA________________________________________________________________________</t>
  </si>
  <si>
    <t>Obveznik: _CROATIA AIRLINES GRUPA____________________________________________________________</t>
  </si>
  <si>
    <t>Obveznik:_CROATIA AIRLINES GRUPA</t>
  </si>
  <si>
    <t>stanje na dan  30.6.2026.</t>
  </si>
  <si>
    <t>u razdoblju 1.1.2026. do 30.6.2026.</t>
  </si>
  <si>
    <t>74780000B0QHXQ0LQw20</t>
  </si>
  <si>
    <t>BILJEŠKE UZ FINANCIJSKE IZVJEŠTAJE - TFI
(koji se sastavljaju za tromjesečna razdoblja)
Naziv izdavatelja:   CROATIA AIRLINES GRUPA d.d.
OIB:   24640993045
Izvještajno razdoblje: 1.1.-30.6.2026.
Poslovanje Croatia Airlinesa u prvom polugodištu 2026. godine odvijalo se u složenom okruženju, u kojem su istodobno djelovali interni učinci investicijskog ciklusa obnove i zamjene flote te nepovoljna kretanja u vanjskom okruženju.
Kriza u zrakoplovstvu, povezana sa značajnim rastom cijena goriva, zatekla je kompaniju u trenutku rekordnog broja putnika u prvih šest mjeseci 2026. godine, kada je prevezeno 981.482 putnika što je 15 posto, odnosno oko 130 tisuća više putnika nego u istom razdoblju 2025. godine. Međutim, u lipnju je zabilježen pad broja putnika od 2 posto čime je prekinut pozitivan trend rasta putničkog prometa koji je za razdoblje siječanj-svibanj 2026. godine iznosio 21 posto. U Hrvatskoj je u lipnju 2026. godine zabilježen pad turističkih dolazaka od 7 posto, a pad potražnje izazvao je pad cijena konkurencije što je negativno utjecalo i na prihode Croatia Airlinesa.
Kompanija se suočava s povećanim operativnim i financijskim opterećenjima zbog troškova implementacije zrakoplova, prilagodbe procesa i prijelaznih učinaka u korištenju flote, što sukladno planu vrši pritisak na profitabilnost i rezultira očekivano negativnim učinkom. Dodatno, eskalacija geopolitičkih rizika na Bliskom istoku tijekom ožujka 2026. potaknula je rast cijena mlaznog goriva, što je dodatno opteretilo operativne rezultate Croatia Airlinesa. Kao posljedica kombinacije strukturnih tranzicijskih troškova i nepovoljnih tržišnih kretanja, u prvom polugodištu 2026. godine ostvaren je negativan financijski rezultat s kumulativnim učinkom navedenih čimbenika.
U prvom polugodištu 2026. godine ostvaren je gubitak iz poslovanja u iznosu od 36,7 milijuna EUR, dok ukupni gubitak, uključujući neto rezultat financiranja, iznosi 49,6 milijuna EUR. Neto troškovi financiranja veći su za 16,1 milijuna EUR u odnosu na isto razdoblje 2025. godine i prvenstveno su rezultat negativnih tečajnih razlika zbog rasta tečaja USD u promatranom razdoblju. U odnosu na 2025. godinu tečajne razlike povećale su ukupni gubitak za oko 13,6 milijuna EUR.
U zahtjevnom poslovnom okruženju upravljanje troškovima, osiguravanje operativne stabilnosti i prilagodba promjenjivim tržišnim uvjetima ostaju ključni prioriteti, dok će ukupni poslovni rezultati u nastavku godine uvelike ovisiti o razvoju navedenih rizika te ograničenim mogućnostima Croatia Airlinesa da ublaži njihove učinke.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</si>
</sst>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1" defaultTableStyle="TableStyleMedium2" defaultPivotStyle="PivotStyleLight16">
    <tableStyle name="Invisible" pivot="0" table="0" count="0" xr9:uid="{CF374FBC-EF08-4962-95AF-8780C3899A1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H15" sqref="H15:I15"/>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v>46023</v>
      </c>
      <c r="F4" s="131"/>
      <c r="G4" s="56" t="s">
        <v>0</v>
      </c>
      <c r="H4" s="130">
        <v>46203</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330</v>
      </c>
      <c r="B10" s="143"/>
      <c r="C10" s="143"/>
      <c r="D10" s="143"/>
      <c r="E10" s="143"/>
      <c r="F10" s="143"/>
      <c r="G10" s="143"/>
      <c r="H10" s="143"/>
      <c r="I10" s="143"/>
      <c r="J10" s="66"/>
    </row>
    <row r="11" spans="1:20" ht="24.6" customHeight="1" x14ac:dyDescent="0.25">
      <c r="A11" s="144" t="s">
        <v>307</v>
      </c>
      <c r="B11" s="145"/>
      <c r="C11" s="137" t="s">
        <v>451</v>
      </c>
      <c r="D11" s="138"/>
      <c r="E11" s="67"/>
      <c r="F11" s="146" t="s">
        <v>331</v>
      </c>
      <c r="G11" s="136"/>
      <c r="H11" s="147" t="s">
        <v>452</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453</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454</v>
      </c>
      <c r="D15" s="138"/>
      <c r="E15" s="155"/>
      <c r="F15" s="156"/>
      <c r="G15" s="73" t="s">
        <v>332</v>
      </c>
      <c r="H15" s="147" t="s">
        <v>475</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333</v>
      </c>
      <c r="C17" s="137" t="s">
        <v>455</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456</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10010</v>
      </c>
      <c r="D21" s="148"/>
      <c r="E21" s="141"/>
      <c r="F21" s="141"/>
      <c r="G21" s="152" t="s">
        <v>457</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458</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459</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460</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f>1044+6+21</f>
        <v>1071</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336</v>
      </c>
      <c r="D31" s="162" t="s">
        <v>334</v>
      </c>
      <c r="E31" s="163"/>
      <c r="F31" s="163"/>
      <c r="G31" s="163"/>
      <c r="H31" s="70"/>
      <c r="I31" s="81" t="s">
        <v>335</v>
      </c>
      <c r="J31" s="82" t="s">
        <v>336</v>
      </c>
    </row>
    <row r="32" spans="1:10" x14ac:dyDescent="0.25">
      <c r="A32" s="144"/>
      <c r="B32" s="151"/>
      <c r="C32" s="83"/>
      <c r="D32" s="56"/>
      <c r="E32" s="156"/>
      <c r="F32" s="156"/>
      <c r="G32" s="156"/>
      <c r="H32" s="156"/>
      <c r="I32" s="79"/>
      <c r="J32" s="80"/>
    </row>
    <row r="33" spans="1:10" x14ac:dyDescent="0.25">
      <c r="A33" s="144" t="s">
        <v>324</v>
      </c>
      <c r="B33" s="151"/>
      <c r="C33" s="18" t="s">
        <v>338</v>
      </c>
      <c r="D33" s="162" t="s">
        <v>337</v>
      </c>
      <c r="E33" s="163"/>
      <c r="F33" s="163"/>
      <c r="G33" s="163"/>
      <c r="H33" s="76"/>
      <c r="I33" s="81" t="s">
        <v>338</v>
      </c>
      <c r="J33" s="82" t="s">
        <v>339</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t="s">
        <v>461</v>
      </c>
      <c r="B37" s="165"/>
      <c r="C37" s="165"/>
      <c r="D37" s="165"/>
      <c r="E37" s="164" t="s">
        <v>463</v>
      </c>
      <c r="F37" s="165"/>
      <c r="G37" s="165"/>
      <c r="H37" s="165"/>
      <c r="I37" s="166"/>
      <c r="J37" s="48">
        <v>48576</v>
      </c>
    </row>
    <row r="38" spans="1:10" x14ac:dyDescent="0.25">
      <c r="A38" s="39"/>
      <c r="B38" s="47"/>
      <c r="C38" s="50"/>
      <c r="D38" s="167"/>
      <c r="E38" s="167"/>
      <c r="F38" s="167"/>
      <c r="G38" s="167"/>
      <c r="H38" s="167"/>
      <c r="I38" s="167"/>
      <c r="J38" s="40"/>
    </row>
    <row r="39" spans="1:10" x14ac:dyDescent="0.25">
      <c r="A39" s="164" t="s">
        <v>462</v>
      </c>
      <c r="B39" s="165"/>
      <c r="C39" s="165"/>
      <c r="D39" s="166"/>
      <c r="E39" s="164" t="s">
        <v>464</v>
      </c>
      <c r="F39" s="165"/>
      <c r="G39" s="165"/>
      <c r="H39" s="165"/>
      <c r="I39" s="166"/>
      <c r="J39" s="18">
        <v>490555</v>
      </c>
    </row>
    <row r="40" spans="1:10" x14ac:dyDescent="0.25">
      <c r="A40" s="39"/>
      <c r="B40" s="47"/>
      <c r="C40" s="50"/>
      <c r="D40" s="49"/>
      <c r="E40" s="167"/>
      <c r="F40" s="167"/>
      <c r="G40" s="167"/>
      <c r="H40" s="167"/>
      <c r="I40" s="46"/>
      <c r="J40" s="40"/>
    </row>
    <row r="41" spans="1:10" x14ac:dyDescent="0.25">
      <c r="A41" s="164"/>
      <c r="B41" s="165"/>
      <c r="C41" s="165"/>
      <c r="D41" s="166"/>
      <c r="E41" s="164"/>
      <c r="F41" s="165"/>
      <c r="G41" s="165"/>
      <c r="H41" s="165"/>
      <c r="I41" s="166"/>
      <c r="J41" s="18"/>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340</v>
      </c>
    </row>
    <row r="49" spans="1:10" x14ac:dyDescent="0.25">
      <c r="A49" s="85"/>
      <c r="B49" s="77"/>
      <c r="C49" s="77"/>
      <c r="D49" s="70"/>
      <c r="E49" s="141"/>
      <c r="F49" s="141"/>
      <c r="G49" s="168"/>
      <c r="H49" s="168"/>
      <c r="I49" s="70"/>
      <c r="J49" s="86" t="s">
        <v>341</v>
      </c>
    </row>
    <row r="50" spans="1:10" ht="14.45" customHeight="1" x14ac:dyDescent="0.25">
      <c r="A50" s="135" t="s">
        <v>317</v>
      </c>
      <c r="B50" s="146"/>
      <c r="C50" s="147" t="s">
        <v>341</v>
      </c>
      <c r="D50" s="148"/>
      <c r="E50" s="174" t="s">
        <v>342</v>
      </c>
      <c r="F50" s="175"/>
      <c r="G50" s="152"/>
      <c r="H50" s="153"/>
      <c r="I50" s="153"/>
      <c r="J50" s="154"/>
    </row>
    <row r="51" spans="1:10" x14ac:dyDescent="0.25">
      <c r="A51" s="85"/>
      <c r="B51" s="77"/>
      <c r="C51" s="168"/>
      <c r="D51" s="168"/>
      <c r="E51" s="141"/>
      <c r="F51" s="141"/>
      <c r="G51" s="176" t="s">
        <v>343</v>
      </c>
      <c r="H51" s="176"/>
      <c r="I51" s="176"/>
      <c r="J51" s="63"/>
    </row>
    <row r="52" spans="1:10" ht="13.9" customHeight="1" x14ac:dyDescent="0.25">
      <c r="A52" s="135" t="s">
        <v>318</v>
      </c>
      <c r="B52" s="146"/>
      <c r="C52" s="152" t="s">
        <v>465</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466</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467</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344</v>
      </c>
      <c r="B58" s="146"/>
      <c r="C58" s="177" t="s">
        <v>468</v>
      </c>
      <c r="D58" s="178"/>
      <c r="E58" s="178"/>
      <c r="F58" s="178"/>
      <c r="G58" s="178"/>
      <c r="H58" s="178"/>
      <c r="I58" s="178"/>
      <c r="J58" s="179"/>
    </row>
    <row r="59" spans="1:10" ht="14.45" customHeight="1" x14ac:dyDescent="0.25">
      <c r="A59" s="69"/>
      <c r="B59" s="70"/>
      <c r="C59" s="180" t="s">
        <v>345</v>
      </c>
      <c r="D59" s="180"/>
      <c r="E59" s="180"/>
      <c r="F59" s="180"/>
      <c r="G59" s="70"/>
      <c r="H59" s="70"/>
      <c r="I59" s="70"/>
      <c r="J59" s="72"/>
    </row>
    <row r="60" spans="1:10" x14ac:dyDescent="0.25">
      <c r="A60" s="135" t="s">
        <v>346</v>
      </c>
      <c r="B60" s="146"/>
      <c r="C60" s="177" t="s">
        <v>469</v>
      </c>
      <c r="D60" s="178"/>
      <c r="E60" s="178"/>
      <c r="F60" s="178"/>
      <c r="G60" s="178"/>
      <c r="H60" s="178"/>
      <c r="I60" s="178"/>
      <c r="J60" s="179"/>
    </row>
    <row r="61" spans="1:10" ht="14.45" customHeight="1" x14ac:dyDescent="0.25">
      <c r="A61" s="87"/>
      <c r="B61" s="88"/>
      <c r="C61" s="181" t="s">
        <v>347</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zoomScaleNormal="100" zoomScaleSheetLayoutView="100" workbookViewId="0">
      <selection activeCell="I84" sqref="I84"/>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473</v>
      </c>
      <c r="B2" s="188"/>
      <c r="C2" s="188"/>
      <c r="D2" s="188"/>
      <c r="E2" s="188"/>
      <c r="F2" s="188"/>
      <c r="G2" s="188"/>
      <c r="H2" s="188"/>
      <c r="I2" s="188"/>
    </row>
    <row r="3" spans="1:9" x14ac:dyDescent="0.2">
      <c r="A3" s="189" t="s">
        <v>442</v>
      </c>
      <c r="B3" s="189"/>
      <c r="C3" s="189"/>
      <c r="D3" s="189"/>
      <c r="E3" s="189"/>
      <c r="F3" s="189"/>
      <c r="G3" s="189"/>
      <c r="H3" s="189"/>
      <c r="I3" s="189"/>
    </row>
    <row r="4" spans="1:9" x14ac:dyDescent="0.2">
      <c r="A4" s="190" t="s">
        <v>472</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312547192.37</v>
      </c>
      <c r="I9" s="91">
        <f>I10+I17+I27+I38+I43</f>
        <v>355751748.20999998</v>
      </c>
    </row>
    <row r="10" spans="1:9" ht="12.75" customHeight="1" x14ac:dyDescent="0.2">
      <c r="A10" s="183" t="s">
        <v>5</v>
      </c>
      <c r="B10" s="183"/>
      <c r="C10" s="183"/>
      <c r="D10" s="183"/>
      <c r="E10" s="183"/>
      <c r="F10" s="183"/>
      <c r="G10" s="8">
        <v>3</v>
      </c>
      <c r="H10" s="91">
        <f>H11+H12+H13+H14+H15+H16</f>
        <v>1657673.17</v>
      </c>
      <c r="I10" s="91">
        <f>I11+I12+I13+I14+I15+I16</f>
        <v>1847887.85</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351880.94</v>
      </c>
      <c r="I12" s="90">
        <v>268521.90000000002</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1067382.75</v>
      </c>
      <c r="I15" s="90">
        <v>1343521.74</v>
      </c>
    </row>
    <row r="16" spans="1:9" ht="12.75" customHeight="1" x14ac:dyDescent="0.2">
      <c r="A16" s="182" t="s">
        <v>11</v>
      </c>
      <c r="B16" s="182"/>
      <c r="C16" s="182"/>
      <c r="D16" s="182"/>
      <c r="E16" s="182"/>
      <c r="F16" s="182"/>
      <c r="G16" s="7">
        <v>9</v>
      </c>
      <c r="H16" s="90">
        <v>238409.48</v>
      </c>
      <c r="I16" s="90">
        <v>235844.21</v>
      </c>
    </row>
    <row r="17" spans="1:9" ht="12.75" customHeight="1" x14ac:dyDescent="0.2">
      <c r="A17" s="183" t="s">
        <v>12</v>
      </c>
      <c r="B17" s="183"/>
      <c r="C17" s="183"/>
      <c r="D17" s="183"/>
      <c r="E17" s="183"/>
      <c r="F17" s="183"/>
      <c r="G17" s="8">
        <v>10</v>
      </c>
      <c r="H17" s="91">
        <f>H18+H19+H20+H21+H22+H23+H24+H25+H26</f>
        <v>239905302.44</v>
      </c>
      <c r="I17" s="91">
        <f>I18+I19+I20+I21+I22+I23+I24+I25+I26</f>
        <v>271379242.44</v>
      </c>
    </row>
    <row r="18" spans="1:9" ht="12.75" customHeight="1" x14ac:dyDescent="0.2">
      <c r="A18" s="182" t="s">
        <v>13</v>
      </c>
      <c r="B18" s="182"/>
      <c r="C18" s="182"/>
      <c r="D18" s="182"/>
      <c r="E18" s="182"/>
      <c r="F18" s="182"/>
      <c r="G18" s="7">
        <v>11</v>
      </c>
      <c r="H18" s="90">
        <v>2621659.2599999998</v>
      </c>
      <c r="I18" s="90">
        <v>2621659.2599999998</v>
      </c>
    </row>
    <row r="19" spans="1:9" ht="12.75" customHeight="1" x14ac:dyDescent="0.2">
      <c r="A19" s="182" t="s">
        <v>14</v>
      </c>
      <c r="B19" s="182"/>
      <c r="C19" s="182"/>
      <c r="D19" s="182"/>
      <c r="E19" s="182"/>
      <c r="F19" s="182"/>
      <c r="G19" s="7">
        <v>12</v>
      </c>
      <c r="H19" s="90">
        <v>3736866.06</v>
      </c>
      <c r="I19" s="90">
        <v>3147717.23</v>
      </c>
    </row>
    <row r="20" spans="1:9" ht="12.75" customHeight="1" x14ac:dyDescent="0.2">
      <c r="A20" s="182" t="s">
        <v>15</v>
      </c>
      <c r="B20" s="182"/>
      <c r="C20" s="182"/>
      <c r="D20" s="182"/>
      <c r="E20" s="182"/>
      <c r="F20" s="182"/>
      <c r="G20" s="7">
        <v>13</v>
      </c>
      <c r="H20" s="90">
        <v>29078671.039999999</v>
      </c>
      <c r="I20" s="90">
        <v>14003770.779999999</v>
      </c>
    </row>
    <row r="21" spans="1:9" ht="12.75" customHeight="1" x14ac:dyDescent="0.2">
      <c r="A21" s="182" t="s">
        <v>16</v>
      </c>
      <c r="B21" s="182"/>
      <c r="C21" s="182"/>
      <c r="D21" s="182"/>
      <c r="E21" s="182"/>
      <c r="F21" s="182"/>
      <c r="G21" s="7">
        <v>14</v>
      </c>
      <c r="H21" s="90">
        <v>197684438.11000001</v>
      </c>
      <c r="I21" s="90">
        <v>244811301.03999999</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6281342.3700000001</v>
      </c>
      <c r="I23" s="90">
        <v>6281342.3700000001</v>
      </c>
    </row>
    <row r="24" spans="1:9" ht="12.75" customHeight="1" x14ac:dyDescent="0.2">
      <c r="A24" s="182" t="s">
        <v>19</v>
      </c>
      <c r="B24" s="182"/>
      <c r="C24" s="182"/>
      <c r="D24" s="182"/>
      <c r="E24" s="182"/>
      <c r="F24" s="182"/>
      <c r="G24" s="7">
        <v>17</v>
      </c>
      <c r="H24" s="90">
        <v>0</v>
      </c>
      <c r="I24" s="90">
        <v>104.79</v>
      </c>
    </row>
    <row r="25" spans="1:9" ht="12.75" customHeight="1" x14ac:dyDescent="0.2">
      <c r="A25" s="182" t="s">
        <v>20</v>
      </c>
      <c r="B25" s="182"/>
      <c r="C25" s="182"/>
      <c r="D25" s="182"/>
      <c r="E25" s="182"/>
      <c r="F25" s="182"/>
      <c r="G25" s="7">
        <v>18</v>
      </c>
      <c r="H25" s="90">
        <v>502325.6</v>
      </c>
      <c r="I25" s="90">
        <v>513346.97</v>
      </c>
    </row>
    <row r="26" spans="1:9" ht="12.75" customHeight="1" x14ac:dyDescent="0.2">
      <c r="A26" s="182" t="s">
        <v>21</v>
      </c>
      <c r="B26" s="182"/>
      <c r="C26" s="182"/>
      <c r="D26" s="182"/>
      <c r="E26" s="182"/>
      <c r="F26" s="182"/>
      <c r="G26" s="7">
        <v>19</v>
      </c>
      <c r="H26" s="90">
        <v>0</v>
      </c>
      <c r="I26" s="90">
        <v>0</v>
      </c>
    </row>
    <row r="27" spans="1:9" ht="12.75" customHeight="1" x14ac:dyDescent="0.2">
      <c r="A27" s="183" t="s">
        <v>22</v>
      </c>
      <c r="B27" s="183"/>
      <c r="C27" s="183"/>
      <c r="D27" s="183"/>
      <c r="E27" s="183"/>
      <c r="F27" s="183"/>
      <c r="G27" s="8">
        <v>20</v>
      </c>
      <c r="H27" s="91">
        <f>SUM(H28:H37)</f>
        <v>13729111.050000001</v>
      </c>
      <c r="I27" s="91">
        <f>SUM(I28:I37)</f>
        <v>13845282.140000001</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25000</v>
      </c>
      <c r="I34" s="90">
        <v>25000</v>
      </c>
    </row>
    <row r="35" spans="1:9" ht="12.75" customHeight="1" x14ac:dyDescent="0.2">
      <c r="A35" s="182" t="s">
        <v>30</v>
      </c>
      <c r="B35" s="182"/>
      <c r="C35" s="182"/>
      <c r="D35" s="182"/>
      <c r="E35" s="182"/>
      <c r="F35" s="182"/>
      <c r="G35" s="7">
        <v>28</v>
      </c>
      <c r="H35" s="90">
        <v>13704111.050000001</v>
      </c>
      <c r="I35" s="90">
        <v>13820282.140000001</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3" t="s">
        <v>33</v>
      </c>
      <c r="B38" s="183"/>
      <c r="C38" s="183"/>
      <c r="D38" s="183"/>
      <c r="E38" s="183"/>
      <c r="F38" s="183"/>
      <c r="G38" s="8">
        <v>31</v>
      </c>
      <c r="H38" s="91">
        <f>H39+H40+H41+H42</f>
        <v>57255105.710000001</v>
      </c>
      <c r="I38" s="91">
        <f>I39+I40+I41+I42</f>
        <v>68679335.780000001</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57255105.710000001</v>
      </c>
      <c r="I42" s="90">
        <v>68679335.780000001</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48851346.469999999</v>
      </c>
      <c r="I44" s="91">
        <f>I45+I53+I60+I70</f>
        <v>80903005.719999999</v>
      </c>
    </row>
    <row r="45" spans="1:9" ht="12.75" customHeight="1" x14ac:dyDescent="0.2">
      <c r="A45" s="183" t="s">
        <v>39</v>
      </c>
      <c r="B45" s="183"/>
      <c r="C45" s="183"/>
      <c r="D45" s="183"/>
      <c r="E45" s="183"/>
      <c r="F45" s="183"/>
      <c r="G45" s="8">
        <v>38</v>
      </c>
      <c r="H45" s="91">
        <f>SUM(H46:H52)</f>
        <v>11996000.289999999</v>
      </c>
      <c r="I45" s="91">
        <f>SUM(I46:I52)</f>
        <v>12933147.800000001</v>
      </c>
    </row>
    <row r="46" spans="1:9" ht="12.75" customHeight="1" x14ac:dyDescent="0.2">
      <c r="A46" s="182" t="s">
        <v>40</v>
      </c>
      <c r="B46" s="182"/>
      <c r="C46" s="182"/>
      <c r="D46" s="182"/>
      <c r="E46" s="182"/>
      <c r="F46" s="182"/>
      <c r="G46" s="7">
        <v>39</v>
      </c>
      <c r="H46" s="90">
        <v>11996000.289999999</v>
      </c>
      <c r="I46" s="90">
        <v>12933147.800000001</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22924825.670000002</v>
      </c>
      <c r="I53" s="91">
        <f>SUM(I54:I59)</f>
        <v>41816436.439999998</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14515159.68</v>
      </c>
      <c r="I56" s="90">
        <v>27529437.800000001</v>
      </c>
    </row>
    <row r="57" spans="1:9" ht="12.75" customHeight="1" x14ac:dyDescent="0.2">
      <c r="A57" s="182" t="s">
        <v>51</v>
      </c>
      <c r="B57" s="182"/>
      <c r="C57" s="182"/>
      <c r="D57" s="182"/>
      <c r="E57" s="182"/>
      <c r="F57" s="182"/>
      <c r="G57" s="7">
        <v>50</v>
      </c>
      <c r="H57" s="90">
        <v>34594.76</v>
      </c>
      <c r="I57" s="90">
        <v>17753.689999999999</v>
      </c>
    </row>
    <row r="58" spans="1:9" ht="12.75" customHeight="1" x14ac:dyDescent="0.2">
      <c r="A58" s="182" t="s">
        <v>52</v>
      </c>
      <c r="B58" s="182"/>
      <c r="C58" s="182"/>
      <c r="D58" s="182"/>
      <c r="E58" s="182"/>
      <c r="F58" s="182"/>
      <c r="G58" s="7">
        <v>51</v>
      </c>
      <c r="H58" s="90">
        <v>6512752.7999999998</v>
      </c>
      <c r="I58" s="90">
        <v>5950315.5599999996</v>
      </c>
    </row>
    <row r="59" spans="1:9" ht="12.75" customHeight="1" x14ac:dyDescent="0.2">
      <c r="A59" s="182" t="s">
        <v>53</v>
      </c>
      <c r="B59" s="182"/>
      <c r="C59" s="182"/>
      <c r="D59" s="182"/>
      <c r="E59" s="182"/>
      <c r="F59" s="182"/>
      <c r="G59" s="7">
        <v>52</v>
      </c>
      <c r="H59" s="90">
        <v>1862318.43</v>
      </c>
      <c r="I59" s="90">
        <v>8318929.3899999997</v>
      </c>
    </row>
    <row r="60" spans="1:9" ht="12.75" customHeight="1" x14ac:dyDescent="0.2">
      <c r="A60" s="183" t="s">
        <v>54</v>
      </c>
      <c r="B60" s="183"/>
      <c r="C60" s="183"/>
      <c r="D60" s="183"/>
      <c r="E60" s="183"/>
      <c r="F60" s="183"/>
      <c r="G60" s="8">
        <v>53</v>
      </c>
      <c r="H60" s="91">
        <f>SUM(H61:H69)</f>
        <v>1213675.01</v>
      </c>
      <c r="I60" s="91">
        <f>SUM(I61:I69)</f>
        <v>4000501.58</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25</v>
      </c>
      <c r="I67" s="90">
        <v>25</v>
      </c>
    </row>
    <row r="68" spans="1:9" ht="12.75" customHeight="1" x14ac:dyDescent="0.2">
      <c r="A68" s="182" t="s">
        <v>30</v>
      </c>
      <c r="B68" s="182"/>
      <c r="C68" s="182"/>
      <c r="D68" s="182"/>
      <c r="E68" s="182"/>
      <c r="F68" s="182"/>
      <c r="G68" s="7">
        <v>61</v>
      </c>
      <c r="H68" s="90">
        <v>1213650.01</v>
      </c>
      <c r="I68" s="90">
        <v>4000476.58</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12716845.5</v>
      </c>
      <c r="I70" s="90">
        <v>22152919.899999999</v>
      </c>
    </row>
    <row r="71" spans="1:9" ht="12.75" customHeight="1" x14ac:dyDescent="0.2">
      <c r="A71" s="198" t="s">
        <v>58</v>
      </c>
      <c r="B71" s="198"/>
      <c r="C71" s="198"/>
      <c r="D71" s="198"/>
      <c r="E71" s="198"/>
      <c r="F71" s="198"/>
      <c r="G71" s="7">
        <v>64</v>
      </c>
      <c r="H71" s="90">
        <v>4274768.72</v>
      </c>
      <c r="I71" s="90">
        <f>9997945.5+0.36</f>
        <v>9997945.8599999994</v>
      </c>
    </row>
    <row r="72" spans="1:9" ht="12.75" customHeight="1" x14ac:dyDescent="0.2">
      <c r="A72" s="184" t="s">
        <v>302</v>
      </c>
      <c r="B72" s="184"/>
      <c r="C72" s="184"/>
      <c r="D72" s="184"/>
      <c r="E72" s="184"/>
      <c r="F72" s="184"/>
      <c r="G72" s="8">
        <v>65</v>
      </c>
      <c r="H72" s="91">
        <f>H8+H9+H44+H71</f>
        <v>365673307.56</v>
      </c>
      <c r="I72" s="91">
        <f>I8+I9+I44+I71</f>
        <v>446652699.79000002</v>
      </c>
    </row>
    <row r="73" spans="1:9" ht="12.75" customHeight="1" x14ac:dyDescent="0.2">
      <c r="A73" s="198" t="s">
        <v>59</v>
      </c>
      <c r="B73" s="198"/>
      <c r="C73" s="198"/>
      <c r="D73" s="198"/>
      <c r="E73" s="198"/>
      <c r="F73" s="198"/>
      <c r="G73" s="7">
        <v>66</v>
      </c>
      <c r="H73" s="90">
        <v>0</v>
      </c>
      <c r="I73" s="90">
        <v>0</v>
      </c>
    </row>
    <row r="74" spans="1:9" x14ac:dyDescent="0.2">
      <c r="A74" s="200" t="s">
        <v>60</v>
      </c>
      <c r="B74" s="201"/>
      <c r="C74" s="201"/>
      <c r="D74" s="201"/>
      <c r="E74" s="201"/>
      <c r="F74" s="201"/>
      <c r="G74" s="201"/>
      <c r="H74" s="201"/>
      <c r="I74" s="201"/>
    </row>
    <row r="75" spans="1:9" ht="24.75" customHeight="1" x14ac:dyDescent="0.2">
      <c r="A75" s="184" t="s">
        <v>444</v>
      </c>
      <c r="B75" s="184"/>
      <c r="C75" s="184"/>
      <c r="D75" s="184"/>
      <c r="E75" s="184"/>
      <c r="F75" s="184"/>
      <c r="G75" s="8">
        <v>67</v>
      </c>
      <c r="H75" s="92">
        <f>H76+H77+H78+H84+H85+H92+H95+H98</f>
        <v>7511811.9299999997</v>
      </c>
      <c r="I75" s="92">
        <f>I76+I77+I78+I84+I85+I92+I95+I98</f>
        <v>35578000.450000003</v>
      </c>
    </row>
    <row r="76" spans="1:9" ht="12.75" customHeight="1" x14ac:dyDescent="0.2">
      <c r="A76" s="182" t="s">
        <v>61</v>
      </c>
      <c r="B76" s="182"/>
      <c r="C76" s="182"/>
      <c r="D76" s="182"/>
      <c r="E76" s="182"/>
      <c r="F76" s="182"/>
      <c r="G76" s="7">
        <v>68</v>
      </c>
      <c r="H76" s="90">
        <f>92387523+430</f>
        <v>92387953</v>
      </c>
      <c r="I76" s="90">
        <f>213266078.65+430.35</f>
        <v>213266509</v>
      </c>
    </row>
    <row r="77" spans="1:9" ht="12.75" customHeight="1" x14ac:dyDescent="0.2">
      <c r="A77" s="182" t="s">
        <v>62</v>
      </c>
      <c r="B77" s="182"/>
      <c r="C77" s="182"/>
      <c r="D77" s="182"/>
      <c r="E77" s="182"/>
      <c r="F77" s="182"/>
      <c r="G77" s="7">
        <v>69</v>
      </c>
      <c r="H77" s="90">
        <f>43000000</f>
        <v>43000000</v>
      </c>
      <c r="I77" s="90">
        <v>0.37</v>
      </c>
    </row>
    <row r="78" spans="1:9" ht="12.75" customHeight="1" x14ac:dyDescent="0.2">
      <c r="A78" s="183" t="s">
        <v>63</v>
      </c>
      <c r="B78" s="183"/>
      <c r="C78" s="183"/>
      <c r="D78" s="183"/>
      <c r="E78" s="183"/>
      <c r="F78" s="183"/>
      <c r="G78" s="8">
        <v>70</v>
      </c>
      <c r="H78" s="92">
        <f>SUM(H79:H83)</f>
        <v>545705.79</v>
      </c>
      <c r="I78" s="92">
        <f>SUM(I79:I83)</f>
        <v>589676.19999999995</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545705.79</v>
      </c>
      <c r="I83" s="90">
        <v>589676.19999999995</v>
      </c>
    </row>
    <row r="84" spans="1:9" ht="12.75" customHeight="1" x14ac:dyDescent="0.2">
      <c r="A84" s="199" t="s">
        <v>69</v>
      </c>
      <c r="B84" s="199"/>
      <c r="C84" s="199"/>
      <c r="D84" s="199"/>
      <c r="E84" s="199"/>
      <c r="F84" s="199"/>
      <c r="G84" s="20">
        <v>76</v>
      </c>
      <c r="H84" s="93">
        <v>7075550.5499999998</v>
      </c>
      <c r="I84" s="93">
        <v>877759.38</v>
      </c>
    </row>
    <row r="85" spans="1:9" ht="12.75" customHeight="1" x14ac:dyDescent="0.2">
      <c r="A85" s="183" t="s">
        <v>434</v>
      </c>
      <c r="B85" s="183"/>
      <c r="C85" s="183"/>
      <c r="D85" s="183"/>
      <c r="E85" s="183"/>
      <c r="F85" s="183"/>
      <c r="G85" s="8">
        <v>77</v>
      </c>
      <c r="H85" s="91">
        <f>H86+H87+H88+H89+H90+H91</f>
        <v>0</v>
      </c>
      <c r="I85" s="91">
        <f>I86+I87+I88+I89+I90+I91</f>
        <v>0</v>
      </c>
    </row>
    <row r="86" spans="1:9" ht="25.5" customHeight="1" x14ac:dyDescent="0.2">
      <c r="A86" s="182" t="s">
        <v>429</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430</v>
      </c>
      <c r="B91" s="182"/>
      <c r="C91" s="182"/>
      <c r="D91" s="182"/>
      <c r="E91" s="182"/>
      <c r="F91" s="182"/>
      <c r="G91" s="7">
        <v>83</v>
      </c>
      <c r="H91" s="90">
        <v>0</v>
      </c>
      <c r="I91" s="90">
        <v>0</v>
      </c>
    </row>
    <row r="92" spans="1:9" ht="12.75" customHeight="1" x14ac:dyDescent="0.2">
      <c r="A92" s="183" t="s">
        <v>435</v>
      </c>
      <c r="B92" s="183"/>
      <c r="C92" s="183"/>
      <c r="D92" s="183"/>
      <c r="E92" s="183"/>
      <c r="F92" s="183"/>
      <c r="G92" s="8">
        <v>84</v>
      </c>
      <c r="H92" s="91">
        <f>H93-H94</f>
        <v>-97055017.069999993</v>
      </c>
      <c r="I92" s="91">
        <f>I93-I94</f>
        <v>-129492217.93000001</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97055017.069999993</v>
      </c>
      <c r="I94" s="90">
        <v>129492217.93000001</v>
      </c>
    </row>
    <row r="95" spans="1:9" ht="12.75" customHeight="1" x14ac:dyDescent="0.2">
      <c r="A95" s="183" t="s">
        <v>436</v>
      </c>
      <c r="B95" s="183"/>
      <c r="C95" s="183"/>
      <c r="D95" s="183"/>
      <c r="E95" s="183"/>
      <c r="F95" s="183"/>
      <c r="G95" s="8">
        <v>87</v>
      </c>
      <c r="H95" s="91">
        <f>H96-H97</f>
        <v>-38442380.340000004</v>
      </c>
      <c r="I95" s="91">
        <f>I96-I97</f>
        <v>-49663726.57</v>
      </c>
    </row>
    <row r="96" spans="1:9" ht="12.75" customHeight="1" x14ac:dyDescent="0.2">
      <c r="A96" s="182" t="s">
        <v>74</v>
      </c>
      <c r="B96" s="182"/>
      <c r="C96" s="182"/>
      <c r="D96" s="182"/>
      <c r="E96" s="182"/>
      <c r="F96" s="182"/>
      <c r="G96" s="7">
        <v>88</v>
      </c>
      <c r="H96" s="90">
        <v>0</v>
      </c>
      <c r="I96" s="90">
        <v>0</v>
      </c>
    </row>
    <row r="97" spans="1:9" ht="12.75" customHeight="1" x14ac:dyDescent="0.2">
      <c r="A97" s="182" t="s">
        <v>75</v>
      </c>
      <c r="B97" s="182"/>
      <c r="C97" s="182"/>
      <c r="D97" s="182"/>
      <c r="E97" s="182"/>
      <c r="F97" s="182"/>
      <c r="G97" s="7">
        <v>89</v>
      </c>
      <c r="H97" s="90">
        <v>38442380.340000004</v>
      </c>
      <c r="I97" s="90">
        <v>49663726.57</v>
      </c>
    </row>
    <row r="98" spans="1:9" ht="12.75" customHeight="1" x14ac:dyDescent="0.2">
      <c r="A98" s="182" t="s">
        <v>76</v>
      </c>
      <c r="B98" s="182"/>
      <c r="C98" s="182"/>
      <c r="D98" s="182"/>
      <c r="E98" s="182"/>
      <c r="F98" s="182"/>
      <c r="G98" s="7">
        <v>90</v>
      </c>
      <c r="H98" s="90">
        <v>0</v>
      </c>
      <c r="I98" s="90">
        <v>0</v>
      </c>
    </row>
    <row r="99" spans="1:9" ht="12.75" customHeight="1" x14ac:dyDescent="0.2">
      <c r="A99" s="184" t="s">
        <v>437</v>
      </c>
      <c r="B99" s="184"/>
      <c r="C99" s="184"/>
      <c r="D99" s="184"/>
      <c r="E99" s="184"/>
      <c r="F99" s="184"/>
      <c r="G99" s="8">
        <v>91</v>
      </c>
      <c r="H99" s="91">
        <f>SUM(H100:H105)</f>
        <v>55677648.530000001</v>
      </c>
      <c r="I99" s="91">
        <f>SUM(I100:I105)</f>
        <v>63836238.18</v>
      </c>
    </row>
    <row r="100" spans="1:9" ht="12.75" customHeight="1" x14ac:dyDescent="0.2">
      <c r="A100" s="182" t="s">
        <v>77</v>
      </c>
      <c r="B100" s="182"/>
      <c r="C100" s="182"/>
      <c r="D100" s="182"/>
      <c r="E100" s="182"/>
      <c r="F100" s="182"/>
      <c r="G100" s="7">
        <v>92</v>
      </c>
      <c r="H100" s="90">
        <v>311487.01</v>
      </c>
      <c r="I100" s="90">
        <v>311487.01</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1134476.71</v>
      </c>
      <c r="I102" s="90">
        <v>314801.34000000003</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54231684.810000002</v>
      </c>
      <c r="I105" s="90">
        <v>63209949.829999998</v>
      </c>
    </row>
    <row r="106" spans="1:9" ht="12.75" customHeight="1" x14ac:dyDescent="0.2">
      <c r="A106" s="184" t="s">
        <v>438</v>
      </c>
      <c r="B106" s="184"/>
      <c r="C106" s="184"/>
      <c r="D106" s="184"/>
      <c r="E106" s="184"/>
      <c r="F106" s="184"/>
      <c r="G106" s="8">
        <v>98</v>
      </c>
      <c r="H106" s="91">
        <f>SUM(H107:H117)</f>
        <v>219601665.49000001</v>
      </c>
      <c r="I106" s="91">
        <f>SUM(I107:I117)</f>
        <v>229742057.37</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42829556.409999996</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84553.25</v>
      </c>
      <c r="I111" s="90">
        <v>84553.25</v>
      </c>
    </row>
    <row r="112" spans="1:9" ht="12.75" customHeight="1" x14ac:dyDescent="0.2">
      <c r="A112" s="182" t="s">
        <v>88</v>
      </c>
      <c r="B112" s="182"/>
      <c r="C112" s="182"/>
      <c r="D112" s="182"/>
      <c r="E112" s="182"/>
      <c r="F112" s="182"/>
      <c r="G112" s="7">
        <v>104</v>
      </c>
      <c r="H112" s="90">
        <v>174021655.62</v>
      </c>
      <c r="I112" s="90">
        <v>227379807.38999999</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1181440.52</v>
      </c>
      <c r="I116" s="90">
        <v>793237.04</v>
      </c>
    </row>
    <row r="117" spans="1:9" ht="12.75" customHeight="1" x14ac:dyDescent="0.2">
      <c r="A117" s="182" t="s">
        <v>93</v>
      </c>
      <c r="B117" s="182"/>
      <c r="C117" s="182"/>
      <c r="D117" s="182"/>
      <c r="E117" s="182"/>
      <c r="F117" s="182"/>
      <c r="G117" s="7">
        <v>109</v>
      </c>
      <c r="H117" s="90">
        <v>1484459.69</v>
      </c>
      <c r="I117" s="90">
        <v>1484459.69</v>
      </c>
    </row>
    <row r="118" spans="1:9" ht="12.75" customHeight="1" x14ac:dyDescent="0.2">
      <c r="A118" s="184" t="s">
        <v>439</v>
      </c>
      <c r="B118" s="184"/>
      <c r="C118" s="184"/>
      <c r="D118" s="184"/>
      <c r="E118" s="184"/>
      <c r="F118" s="184"/>
      <c r="G118" s="8">
        <v>110</v>
      </c>
      <c r="H118" s="91">
        <f>SUM(H119:H132)</f>
        <v>67981443.269999996</v>
      </c>
      <c r="I118" s="91">
        <f>SUM(I119:I132)</f>
        <v>102434266.02</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1605257.65</v>
      </c>
      <c r="I123" s="90">
        <v>2643683</v>
      </c>
    </row>
    <row r="124" spans="1:9" ht="12.75" customHeight="1" x14ac:dyDescent="0.2">
      <c r="A124" s="182" t="s">
        <v>88</v>
      </c>
      <c r="B124" s="182"/>
      <c r="C124" s="182"/>
      <c r="D124" s="182"/>
      <c r="E124" s="182"/>
      <c r="F124" s="182"/>
      <c r="G124" s="7">
        <v>116</v>
      </c>
      <c r="H124" s="90">
        <v>17898209.530000001</v>
      </c>
      <c r="I124" s="90">
        <v>20832286.489999998</v>
      </c>
    </row>
    <row r="125" spans="1:9" ht="12.75" customHeight="1" x14ac:dyDescent="0.2">
      <c r="A125" s="182" t="s">
        <v>89</v>
      </c>
      <c r="B125" s="182"/>
      <c r="C125" s="182"/>
      <c r="D125" s="182"/>
      <c r="E125" s="182"/>
      <c r="F125" s="182"/>
      <c r="G125" s="7">
        <v>117</v>
      </c>
      <c r="H125" s="90">
        <v>432172.59</v>
      </c>
      <c r="I125" s="90">
        <v>92779.07</v>
      </c>
    </row>
    <row r="126" spans="1:9" ht="12.75" customHeight="1" x14ac:dyDescent="0.2">
      <c r="A126" s="182" t="s">
        <v>90</v>
      </c>
      <c r="B126" s="182"/>
      <c r="C126" s="182"/>
      <c r="D126" s="182"/>
      <c r="E126" s="182"/>
      <c r="F126" s="182"/>
      <c r="G126" s="7">
        <v>118</v>
      </c>
      <c r="H126" s="90">
        <v>22934463.43</v>
      </c>
      <c r="I126" s="90">
        <v>28052538.859999999</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2562173.16</v>
      </c>
      <c r="I128" s="90">
        <v>2744103.2</v>
      </c>
    </row>
    <row r="129" spans="1:9" x14ac:dyDescent="0.2">
      <c r="A129" s="182" t="s">
        <v>95</v>
      </c>
      <c r="B129" s="182"/>
      <c r="C129" s="182"/>
      <c r="D129" s="182"/>
      <c r="E129" s="182"/>
      <c r="F129" s="182"/>
      <c r="G129" s="7">
        <v>121</v>
      </c>
      <c r="H129" s="90">
        <v>2309120.5</v>
      </c>
      <c r="I129" s="90">
        <v>2522752.61</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20240046.41</v>
      </c>
      <c r="I132" s="90">
        <v>45546122.789999999</v>
      </c>
    </row>
    <row r="133" spans="1:9" ht="22.15" customHeight="1" x14ac:dyDescent="0.2">
      <c r="A133" s="198" t="s">
        <v>99</v>
      </c>
      <c r="B133" s="198"/>
      <c r="C133" s="198"/>
      <c r="D133" s="198"/>
      <c r="E133" s="198"/>
      <c r="F133" s="198"/>
      <c r="G133" s="7">
        <v>125</v>
      </c>
      <c r="H133" s="90">
        <v>14900738.34</v>
      </c>
      <c r="I133" s="90">
        <v>15062137.77</v>
      </c>
    </row>
    <row r="134" spans="1:9" ht="12.75" customHeight="1" x14ac:dyDescent="0.2">
      <c r="A134" s="184" t="s">
        <v>440</v>
      </c>
      <c r="B134" s="184"/>
      <c r="C134" s="184"/>
      <c r="D134" s="184"/>
      <c r="E134" s="184"/>
      <c r="F134" s="184"/>
      <c r="G134" s="8">
        <v>126</v>
      </c>
      <c r="H134" s="91">
        <f>H75+H99+H106+H118+H133</f>
        <v>365673307.56</v>
      </c>
      <c r="I134" s="91">
        <f>I75+I99+I106+I118+I133</f>
        <v>446652699.79000002</v>
      </c>
    </row>
    <row r="135" spans="1:9" x14ac:dyDescent="0.2">
      <c r="A135" s="198" t="s">
        <v>100</v>
      </c>
      <c r="B135" s="198"/>
      <c r="C135" s="198"/>
      <c r="D135" s="198"/>
      <c r="E135" s="198"/>
      <c r="F135" s="198"/>
      <c r="G135" s="7">
        <v>127</v>
      </c>
      <c r="H135" s="90">
        <v>0</v>
      </c>
      <c r="I135" s="90">
        <v>0</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abSelected="1" topLeftCell="A57" zoomScale="115" zoomScaleNormal="115" zoomScaleSheetLayoutView="110" workbookViewId="0">
      <selection activeCell="I97" sqref="I97"/>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474</v>
      </c>
      <c r="B2" s="205"/>
      <c r="C2" s="205"/>
      <c r="D2" s="205"/>
      <c r="E2" s="205"/>
      <c r="F2" s="205"/>
      <c r="G2" s="205"/>
      <c r="H2" s="205"/>
      <c r="I2" s="205"/>
    </row>
    <row r="3" spans="1:11" x14ac:dyDescent="0.2">
      <c r="A3" s="206" t="s">
        <v>443</v>
      </c>
      <c r="B3" s="207"/>
      <c r="C3" s="207"/>
      <c r="D3" s="207"/>
      <c r="E3" s="207"/>
      <c r="F3" s="207"/>
      <c r="G3" s="207"/>
      <c r="H3" s="207"/>
      <c r="I3" s="207"/>
      <c r="J3" s="208"/>
      <c r="K3" s="208"/>
    </row>
    <row r="4" spans="1:11" x14ac:dyDescent="0.2">
      <c r="A4" s="209" t="s">
        <v>470</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350</v>
      </c>
      <c r="B8" s="216"/>
      <c r="C8" s="216"/>
      <c r="D8" s="216"/>
      <c r="E8" s="216"/>
      <c r="F8" s="216"/>
      <c r="G8" s="8">
        <v>1</v>
      </c>
      <c r="H8" s="94">
        <f>SUM(H9:H13)</f>
        <v>112447715</v>
      </c>
      <c r="I8" s="94">
        <f>SUM(I9:I13)</f>
        <v>69086791</v>
      </c>
      <c r="J8" s="94">
        <f>SUM(J9:J13)</f>
        <v>126352996.81999999</v>
      </c>
      <c r="K8" s="94">
        <f>SUM(K9:K13)</f>
        <v>78990307.739999995</v>
      </c>
    </row>
    <row r="9" spans="1:11" ht="12.75" customHeight="1" x14ac:dyDescent="0.2">
      <c r="A9" s="182" t="s">
        <v>115</v>
      </c>
      <c r="B9" s="182"/>
      <c r="C9" s="182"/>
      <c r="D9" s="182"/>
      <c r="E9" s="182"/>
      <c r="F9" s="182"/>
      <c r="G9" s="7">
        <v>2</v>
      </c>
      <c r="H9" s="95">
        <v>0</v>
      </c>
      <c r="I9" s="95">
        <v>0</v>
      </c>
      <c r="J9" s="95">
        <v>0</v>
      </c>
      <c r="K9" s="95">
        <f>+J9</f>
        <v>0</v>
      </c>
    </row>
    <row r="10" spans="1:11" ht="12.75" customHeight="1" x14ac:dyDescent="0.2">
      <c r="A10" s="182" t="s">
        <v>441</v>
      </c>
      <c r="B10" s="182"/>
      <c r="C10" s="182"/>
      <c r="D10" s="182"/>
      <c r="E10" s="182"/>
      <c r="F10" s="182"/>
      <c r="G10" s="7">
        <v>3</v>
      </c>
      <c r="H10" s="95">
        <v>100323472</v>
      </c>
      <c r="I10" s="95">
        <f>+H10-37802992</f>
        <v>62520480</v>
      </c>
      <c r="J10" s="95">
        <v>112872932.18000001</v>
      </c>
      <c r="K10" s="95">
        <f>+J10-43548997.1</f>
        <v>69323935.079999998</v>
      </c>
    </row>
    <row r="11" spans="1:11" ht="12.75" customHeight="1" x14ac:dyDescent="0.2">
      <c r="A11" s="182" t="s">
        <v>116</v>
      </c>
      <c r="B11" s="182"/>
      <c r="C11" s="182"/>
      <c r="D11" s="182"/>
      <c r="E11" s="182"/>
      <c r="F11" s="182"/>
      <c r="G11" s="7">
        <v>4</v>
      </c>
      <c r="H11" s="95">
        <v>0</v>
      </c>
      <c r="I11" s="95">
        <f t="shared" ref="I11:I12" si="0">+H11</f>
        <v>0</v>
      </c>
      <c r="J11" s="95">
        <v>0</v>
      </c>
      <c r="K11" s="95">
        <f t="shared" ref="K11:K12" si="1">+J11</f>
        <v>0</v>
      </c>
    </row>
    <row r="12" spans="1:11" ht="12.75" customHeight="1" x14ac:dyDescent="0.2">
      <c r="A12" s="182" t="s">
        <v>117</v>
      </c>
      <c r="B12" s="182"/>
      <c r="C12" s="182"/>
      <c r="D12" s="182"/>
      <c r="E12" s="182"/>
      <c r="F12" s="182"/>
      <c r="G12" s="7">
        <v>5</v>
      </c>
      <c r="H12" s="95">
        <v>0</v>
      </c>
      <c r="I12" s="95">
        <f t="shared" si="0"/>
        <v>0</v>
      </c>
      <c r="J12" s="95">
        <v>0</v>
      </c>
      <c r="K12" s="95">
        <f t="shared" si="1"/>
        <v>0</v>
      </c>
    </row>
    <row r="13" spans="1:11" ht="12.75" customHeight="1" x14ac:dyDescent="0.2">
      <c r="A13" s="182" t="s">
        <v>118</v>
      </c>
      <c r="B13" s="182"/>
      <c r="C13" s="182"/>
      <c r="D13" s="182"/>
      <c r="E13" s="182"/>
      <c r="F13" s="182"/>
      <c r="G13" s="7">
        <v>6</v>
      </c>
      <c r="H13" s="95">
        <v>12124243</v>
      </c>
      <c r="I13" s="95">
        <f>+H13-5557932</f>
        <v>6566311</v>
      </c>
      <c r="J13" s="95">
        <v>13480064.640000001</v>
      </c>
      <c r="K13" s="95">
        <f>+J13-3813691.98</f>
        <v>9666372.6600000001</v>
      </c>
    </row>
    <row r="14" spans="1:11" ht="12.75" customHeight="1" x14ac:dyDescent="0.2">
      <c r="A14" s="216" t="s">
        <v>351</v>
      </c>
      <c r="B14" s="216"/>
      <c r="C14" s="216"/>
      <c r="D14" s="216"/>
      <c r="E14" s="216"/>
      <c r="F14" s="216"/>
      <c r="G14" s="8">
        <v>7</v>
      </c>
      <c r="H14" s="94">
        <f>H15+H16+H20+H24+H25+H26+H29+H36</f>
        <v>133432205</v>
      </c>
      <c r="I14" s="94">
        <f>I15+I16+I20+I24+I25+I26+I29+I36</f>
        <v>74814924</v>
      </c>
      <c r="J14" s="94">
        <f>J15+J16+J20+J24+J25+J26+J29+J36</f>
        <v>163036353.13</v>
      </c>
      <c r="K14" s="94">
        <f>K15+K16+K20+K24+K25+K26+K29+K36</f>
        <v>93569481.040000007</v>
      </c>
    </row>
    <row r="15" spans="1:11" ht="12.75" customHeight="1" x14ac:dyDescent="0.2">
      <c r="A15" s="182" t="s">
        <v>104</v>
      </c>
      <c r="B15" s="182"/>
      <c r="C15" s="182"/>
      <c r="D15" s="182"/>
      <c r="E15" s="182"/>
      <c r="F15" s="182"/>
      <c r="G15" s="7">
        <v>8</v>
      </c>
      <c r="H15" s="95">
        <v>0</v>
      </c>
      <c r="I15" s="95">
        <v>0</v>
      </c>
      <c r="J15" s="95">
        <v>0</v>
      </c>
      <c r="K15" s="95">
        <f>+J15</f>
        <v>0</v>
      </c>
    </row>
    <row r="16" spans="1:11" ht="12.75" customHeight="1" x14ac:dyDescent="0.2">
      <c r="A16" s="183" t="s">
        <v>423</v>
      </c>
      <c r="B16" s="183"/>
      <c r="C16" s="183"/>
      <c r="D16" s="183"/>
      <c r="E16" s="183"/>
      <c r="F16" s="183"/>
      <c r="G16" s="8">
        <v>9</v>
      </c>
      <c r="H16" s="94">
        <f>SUM(H17:H19)</f>
        <v>84856856</v>
      </c>
      <c r="I16" s="94">
        <f>SUM(I17:I19)</f>
        <v>49017724</v>
      </c>
      <c r="J16" s="94">
        <f>SUM(J17:J19)</f>
        <v>107582258.12</v>
      </c>
      <c r="K16" s="94">
        <f>SUM(K17:K19)</f>
        <v>63914931.530000001</v>
      </c>
    </row>
    <row r="17" spans="1:11" ht="12.75" customHeight="1" x14ac:dyDescent="0.2">
      <c r="A17" s="217" t="s">
        <v>119</v>
      </c>
      <c r="B17" s="217"/>
      <c r="C17" s="217"/>
      <c r="D17" s="217"/>
      <c r="E17" s="217"/>
      <c r="F17" s="217"/>
      <c r="G17" s="7">
        <v>10</v>
      </c>
      <c r="H17" s="95">
        <v>23888410</v>
      </c>
      <c r="I17" s="95">
        <f>+H17-9935970</f>
        <v>13952440</v>
      </c>
      <c r="J17" s="95">
        <v>36577927.93</v>
      </c>
      <c r="K17" s="95">
        <f>+J17-12840034.43</f>
        <v>23737893.5</v>
      </c>
    </row>
    <row r="18" spans="1:11" ht="12.75" customHeight="1" x14ac:dyDescent="0.2">
      <c r="A18" s="217" t="s">
        <v>120</v>
      </c>
      <c r="B18" s="217"/>
      <c r="C18" s="217"/>
      <c r="D18" s="217"/>
      <c r="E18" s="217"/>
      <c r="F18" s="217"/>
      <c r="G18" s="7">
        <v>11</v>
      </c>
      <c r="H18" s="95">
        <v>0</v>
      </c>
      <c r="I18" s="95">
        <f t="shared" ref="I18" si="2">+H18</f>
        <v>0</v>
      </c>
      <c r="J18" s="95">
        <v>60956.62</v>
      </c>
      <c r="K18" s="95">
        <f>+J18-8195.41</f>
        <v>52761.21</v>
      </c>
    </row>
    <row r="19" spans="1:11" ht="12.75" customHeight="1" x14ac:dyDescent="0.2">
      <c r="A19" s="217" t="s">
        <v>121</v>
      </c>
      <c r="B19" s="217"/>
      <c r="C19" s="217"/>
      <c r="D19" s="217"/>
      <c r="E19" s="217"/>
      <c r="F19" s="217"/>
      <c r="G19" s="7">
        <v>12</v>
      </c>
      <c r="H19" s="95">
        <v>60968446</v>
      </c>
      <c r="I19" s="95">
        <f>+H19-25903162</f>
        <v>35065284</v>
      </c>
      <c r="J19" s="95">
        <v>70943373.569999993</v>
      </c>
      <c r="K19" s="95">
        <f>+J19-30819096.75</f>
        <v>40124276.82</v>
      </c>
    </row>
    <row r="20" spans="1:11" ht="12.75" customHeight="1" x14ac:dyDescent="0.2">
      <c r="A20" s="183" t="s">
        <v>424</v>
      </c>
      <c r="B20" s="183"/>
      <c r="C20" s="183"/>
      <c r="D20" s="183"/>
      <c r="E20" s="183"/>
      <c r="F20" s="183"/>
      <c r="G20" s="8">
        <v>13</v>
      </c>
      <c r="H20" s="94">
        <f>SUM(H21:H23)</f>
        <v>24832870</v>
      </c>
      <c r="I20" s="94">
        <f>SUM(I21:I23)</f>
        <v>13011958</v>
      </c>
      <c r="J20" s="94">
        <f>SUM(J21:J23)</f>
        <v>27023525.149999999</v>
      </c>
      <c r="K20" s="94">
        <f>SUM(K21:K23)</f>
        <v>13940049.640000001</v>
      </c>
    </row>
    <row r="21" spans="1:11" ht="12.75" customHeight="1" x14ac:dyDescent="0.2">
      <c r="A21" s="217" t="s">
        <v>105</v>
      </c>
      <c r="B21" s="217"/>
      <c r="C21" s="217"/>
      <c r="D21" s="217"/>
      <c r="E21" s="217"/>
      <c r="F21" s="217"/>
      <c r="G21" s="7">
        <v>14</v>
      </c>
      <c r="H21" s="95">
        <v>13841992</v>
      </c>
      <c r="I21" s="95">
        <f>+H21-6604723</f>
        <v>7237269</v>
      </c>
      <c r="J21" s="95">
        <v>14954166.619999999</v>
      </c>
      <c r="K21" s="95">
        <f>+J21-7262925.93</f>
        <v>7691240.6900000004</v>
      </c>
    </row>
    <row r="22" spans="1:11" ht="12.75" customHeight="1" x14ac:dyDescent="0.2">
      <c r="A22" s="217" t="s">
        <v>106</v>
      </c>
      <c r="B22" s="217"/>
      <c r="C22" s="217"/>
      <c r="D22" s="217"/>
      <c r="E22" s="217"/>
      <c r="F22" s="217"/>
      <c r="G22" s="7">
        <v>15</v>
      </c>
      <c r="H22" s="95">
        <v>6485211</v>
      </c>
      <c r="I22" s="95">
        <f>+H22-3074192</f>
        <v>3411019</v>
      </c>
      <c r="J22" s="95">
        <v>7140393.2599999998</v>
      </c>
      <c r="K22" s="95">
        <f>+J22-3448350.75</f>
        <v>3692042.51</v>
      </c>
    </row>
    <row r="23" spans="1:11" ht="12.75" customHeight="1" x14ac:dyDescent="0.2">
      <c r="A23" s="217" t="s">
        <v>107</v>
      </c>
      <c r="B23" s="217"/>
      <c r="C23" s="217"/>
      <c r="D23" s="217"/>
      <c r="E23" s="217"/>
      <c r="F23" s="217"/>
      <c r="G23" s="7">
        <v>16</v>
      </c>
      <c r="H23" s="95">
        <v>4505667</v>
      </c>
      <c r="I23" s="95">
        <f>+H23-2141997</f>
        <v>2363670</v>
      </c>
      <c r="J23" s="95">
        <v>4928965.2699999996</v>
      </c>
      <c r="K23" s="95">
        <f>+J23-2372198.83</f>
        <v>2556766.44</v>
      </c>
    </row>
    <row r="24" spans="1:11" ht="12.75" customHeight="1" x14ac:dyDescent="0.2">
      <c r="A24" s="182" t="s">
        <v>108</v>
      </c>
      <c r="B24" s="182"/>
      <c r="C24" s="182"/>
      <c r="D24" s="182"/>
      <c r="E24" s="182"/>
      <c r="F24" s="182"/>
      <c r="G24" s="7">
        <v>17</v>
      </c>
      <c r="H24" s="95">
        <v>15933821</v>
      </c>
      <c r="I24" s="95">
        <f>+H24-7822007</f>
        <v>8111814</v>
      </c>
      <c r="J24" s="95">
        <v>19024548.34</v>
      </c>
      <c r="K24" s="95">
        <f>+J24-9080234.78</f>
        <v>9944313.5600000005</v>
      </c>
    </row>
    <row r="25" spans="1:11" ht="12.75" customHeight="1" x14ac:dyDescent="0.2">
      <c r="A25" s="182" t="s">
        <v>109</v>
      </c>
      <c r="B25" s="182"/>
      <c r="C25" s="182"/>
      <c r="D25" s="182"/>
      <c r="E25" s="182"/>
      <c r="F25" s="182"/>
      <c r="G25" s="7">
        <v>18</v>
      </c>
      <c r="H25" s="95">
        <v>7098459</v>
      </c>
      <c r="I25" s="95">
        <f>+H25-2649865</f>
        <v>4448594</v>
      </c>
      <c r="J25" s="95">
        <v>7731630.0700000003</v>
      </c>
      <c r="K25" s="95">
        <f>+J25-3188837.45</f>
        <v>4542792.62</v>
      </c>
    </row>
    <row r="26" spans="1:11" ht="12.75" customHeight="1" x14ac:dyDescent="0.2">
      <c r="A26" s="183" t="s">
        <v>425</v>
      </c>
      <c r="B26" s="183"/>
      <c r="C26" s="183"/>
      <c r="D26" s="183"/>
      <c r="E26" s="183"/>
      <c r="F26" s="183"/>
      <c r="G26" s="8">
        <v>19</v>
      </c>
      <c r="H26" s="94">
        <f>H27+H28</f>
        <v>3281</v>
      </c>
      <c r="I26" s="94">
        <f>I27+I28</f>
        <v>3281</v>
      </c>
      <c r="J26" s="94">
        <f>J27+J28</f>
        <v>5006.34</v>
      </c>
      <c r="K26" s="94">
        <f>K27+K28</f>
        <v>5006.34</v>
      </c>
    </row>
    <row r="27" spans="1:11" ht="12.75" customHeight="1" x14ac:dyDescent="0.2">
      <c r="A27" s="217" t="s">
        <v>122</v>
      </c>
      <c r="B27" s="217"/>
      <c r="C27" s="217"/>
      <c r="D27" s="217"/>
      <c r="E27" s="217"/>
      <c r="F27" s="217"/>
      <c r="G27" s="7">
        <v>20</v>
      </c>
      <c r="H27" s="95">
        <v>0</v>
      </c>
      <c r="I27" s="95">
        <v>0</v>
      </c>
      <c r="J27" s="95">
        <v>0</v>
      </c>
      <c r="K27" s="95">
        <f>+J27</f>
        <v>0</v>
      </c>
    </row>
    <row r="28" spans="1:11" ht="12.75" customHeight="1" x14ac:dyDescent="0.2">
      <c r="A28" s="217" t="s">
        <v>123</v>
      </c>
      <c r="B28" s="217"/>
      <c r="C28" s="217"/>
      <c r="D28" s="217"/>
      <c r="E28" s="217"/>
      <c r="F28" s="217"/>
      <c r="G28" s="7">
        <v>21</v>
      </c>
      <c r="H28" s="95">
        <v>3281</v>
      </c>
      <c r="I28" s="95">
        <f>H28</f>
        <v>3281</v>
      </c>
      <c r="J28" s="95">
        <v>5006.34</v>
      </c>
      <c r="K28" s="95">
        <f>+J28</f>
        <v>5006.34</v>
      </c>
    </row>
    <row r="29" spans="1:11" ht="12.75" customHeight="1" x14ac:dyDescent="0.2">
      <c r="A29" s="183" t="s">
        <v>426</v>
      </c>
      <c r="B29" s="183"/>
      <c r="C29" s="183"/>
      <c r="D29" s="183"/>
      <c r="E29" s="183"/>
      <c r="F29" s="183"/>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f>+H30</f>
        <v>0</v>
      </c>
      <c r="J30" s="95">
        <v>0</v>
      </c>
      <c r="K30" s="95">
        <f>+J30</f>
        <v>0</v>
      </c>
    </row>
    <row r="31" spans="1:11" ht="12.75" customHeight="1" x14ac:dyDescent="0.2">
      <c r="A31" s="217" t="s">
        <v>125</v>
      </c>
      <c r="B31" s="217"/>
      <c r="C31" s="217"/>
      <c r="D31" s="217"/>
      <c r="E31" s="217"/>
      <c r="F31" s="217"/>
      <c r="G31" s="7">
        <v>24</v>
      </c>
      <c r="H31" s="95">
        <v>0</v>
      </c>
      <c r="I31" s="95">
        <v>0</v>
      </c>
      <c r="J31" s="95">
        <v>0</v>
      </c>
      <c r="K31" s="95">
        <f t="shared" ref="K31:K35" si="3">+J31</f>
        <v>0</v>
      </c>
    </row>
    <row r="32" spans="1:11" ht="12.75" customHeight="1" x14ac:dyDescent="0.2">
      <c r="A32" s="217" t="s">
        <v>126</v>
      </c>
      <c r="B32" s="217"/>
      <c r="C32" s="217"/>
      <c r="D32" s="217"/>
      <c r="E32" s="217"/>
      <c r="F32" s="217"/>
      <c r="G32" s="7">
        <v>25</v>
      </c>
      <c r="H32" s="95">
        <v>0</v>
      </c>
      <c r="I32" s="95">
        <f>+H32</f>
        <v>0</v>
      </c>
      <c r="J32" s="95">
        <v>0</v>
      </c>
      <c r="K32" s="95">
        <f t="shared" si="3"/>
        <v>0</v>
      </c>
    </row>
    <row r="33" spans="1:11" ht="12.75" customHeight="1" x14ac:dyDescent="0.2">
      <c r="A33" s="217" t="s">
        <v>127</v>
      </c>
      <c r="B33" s="217"/>
      <c r="C33" s="217"/>
      <c r="D33" s="217"/>
      <c r="E33" s="217"/>
      <c r="F33" s="217"/>
      <c r="G33" s="7">
        <v>26</v>
      </c>
      <c r="H33" s="95">
        <v>0</v>
      </c>
      <c r="I33" s="95">
        <v>0</v>
      </c>
      <c r="J33" s="95">
        <v>0</v>
      </c>
      <c r="K33" s="95">
        <f t="shared" si="3"/>
        <v>0</v>
      </c>
    </row>
    <row r="34" spans="1:11" ht="12.75" customHeight="1" x14ac:dyDescent="0.2">
      <c r="A34" s="217" t="s">
        <v>128</v>
      </c>
      <c r="B34" s="217"/>
      <c r="C34" s="217"/>
      <c r="D34" s="217"/>
      <c r="E34" s="217"/>
      <c r="F34" s="217"/>
      <c r="G34" s="7">
        <v>27</v>
      </c>
      <c r="H34" s="95">
        <v>0</v>
      </c>
      <c r="I34" s="95">
        <v>0</v>
      </c>
      <c r="J34" s="95">
        <v>0</v>
      </c>
      <c r="K34" s="95">
        <f t="shared" si="3"/>
        <v>0</v>
      </c>
    </row>
    <row r="35" spans="1:11" ht="12.75" customHeight="1" x14ac:dyDescent="0.2">
      <c r="A35" s="217" t="s">
        <v>129</v>
      </c>
      <c r="B35" s="217"/>
      <c r="C35" s="217"/>
      <c r="D35" s="217"/>
      <c r="E35" s="217"/>
      <c r="F35" s="217"/>
      <c r="G35" s="7">
        <v>28</v>
      </c>
      <c r="H35" s="95">
        <v>0</v>
      </c>
      <c r="I35" s="95">
        <f>+H35</f>
        <v>0</v>
      </c>
      <c r="J35" s="95">
        <v>0</v>
      </c>
      <c r="K35" s="95">
        <f t="shared" si="3"/>
        <v>0</v>
      </c>
    </row>
    <row r="36" spans="1:11" ht="12.75" customHeight="1" x14ac:dyDescent="0.2">
      <c r="A36" s="182" t="s">
        <v>110</v>
      </c>
      <c r="B36" s="182"/>
      <c r="C36" s="182"/>
      <c r="D36" s="182"/>
      <c r="E36" s="182"/>
      <c r="F36" s="182"/>
      <c r="G36" s="7">
        <v>29</v>
      </c>
      <c r="H36" s="95">
        <v>706918</v>
      </c>
      <c r="I36" s="95">
        <f>+H36-485365</f>
        <v>221553</v>
      </c>
      <c r="J36" s="95">
        <v>1669385.11</v>
      </c>
      <c r="K36" s="95">
        <f>+J36-446997.76</f>
        <v>1222387.3500000001</v>
      </c>
    </row>
    <row r="37" spans="1:11" ht="12.75" customHeight="1" x14ac:dyDescent="0.2">
      <c r="A37" s="216" t="s">
        <v>352</v>
      </c>
      <c r="B37" s="216"/>
      <c r="C37" s="216"/>
      <c r="D37" s="216"/>
      <c r="E37" s="216"/>
      <c r="F37" s="216"/>
      <c r="G37" s="8">
        <v>30</v>
      </c>
      <c r="H37" s="94">
        <f>SUM(H38:H47)</f>
        <v>20676238</v>
      </c>
      <c r="I37" s="94">
        <f>SUM(I38:I47)</f>
        <v>15694224</v>
      </c>
      <c r="J37" s="94">
        <f>SUM(J38:J47)</f>
        <v>3558817.64</v>
      </c>
      <c r="K37" s="94">
        <f>SUM(K38:K47)</f>
        <v>113129</v>
      </c>
    </row>
    <row r="38" spans="1:11" ht="12.75" customHeight="1" x14ac:dyDescent="0.2">
      <c r="A38" s="182" t="s">
        <v>130</v>
      </c>
      <c r="B38" s="182"/>
      <c r="C38" s="182"/>
      <c r="D38" s="182"/>
      <c r="E38" s="182"/>
      <c r="F38" s="182"/>
      <c r="G38" s="7">
        <v>31</v>
      </c>
      <c r="H38" s="95">
        <v>0</v>
      </c>
      <c r="I38" s="95">
        <v>0</v>
      </c>
      <c r="J38" s="95">
        <v>0</v>
      </c>
      <c r="K38" s="95">
        <f>+J38</f>
        <v>0</v>
      </c>
    </row>
    <row r="39" spans="1:11" ht="25.15" customHeight="1" x14ac:dyDescent="0.2">
      <c r="A39" s="182" t="s">
        <v>131</v>
      </c>
      <c r="B39" s="182"/>
      <c r="C39" s="182"/>
      <c r="D39" s="182"/>
      <c r="E39" s="182"/>
      <c r="F39" s="182"/>
      <c r="G39" s="7">
        <v>32</v>
      </c>
      <c r="H39" s="95">
        <v>0</v>
      </c>
      <c r="I39" s="95">
        <v>0</v>
      </c>
      <c r="J39" s="95">
        <v>0</v>
      </c>
      <c r="K39" s="95">
        <f t="shared" ref="K39:K46" si="4">+J39</f>
        <v>0</v>
      </c>
    </row>
    <row r="40" spans="1:11" ht="25.15" customHeight="1" x14ac:dyDescent="0.2">
      <c r="A40" s="182" t="s">
        <v>132</v>
      </c>
      <c r="B40" s="182"/>
      <c r="C40" s="182"/>
      <c r="D40" s="182"/>
      <c r="E40" s="182"/>
      <c r="F40" s="182"/>
      <c r="G40" s="7">
        <v>33</v>
      </c>
      <c r="H40" s="95">
        <v>0</v>
      </c>
      <c r="I40" s="95">
        <v>0</v>
      </c>
      <c r="J40" s="95">
        <v>0</v>
      </c>
      <c r="K40" s="95">
        <f t="shared" si="4"/>
        <v>0</v>
      </c>
    </row>
    <row r="41" spans="1:11" ht="25.15" customHeight="1" x14ac:dyDescent="0.2">
      <c r="A41" s="182" t="s">
        <v>133</v>
      </c>
      <c r="B41" s="182"/>
      <c r="C41" s="182"/>
      <c r="D41" s="182"/>
      <c r="E41" s="182"/>
      <c r="F41" s="182"/>
      <c r="G41" s="7">
        <v>34</v>
      </c>
      <c r="H41" s="95">
        <v>0</v>
      </c>
      <c r="I41" s="95">
        <f>+H41</f>
        <v>0</v>
      </c>
      <c r="J41" s="95">
        <v>0</v>
      </c>
      <c r="K41" s="95">
        <f t="shared" si="4"/>
        <v>0</v>
      </c>
    </row>
    <row r="42" spans="1:11" ht="25.15" customHeight="1" x14ac:dyDescent="0.2">
      <c r="A42" s="182" t="s">
        <v>134</v>
      </c>
      <c r="B42" s="182"/>
      <c r="C42" s="182"/>
      <c r="D42" s="182"/>
      <c r="E42" s="182"/>
      <c r="F42" s="182"/>
      <c r="G42" s="7">
        <v>35</v>
      </c>
      <c r="H42" s="95">
        <v>0</v>
      </c>
      <c r="I42" s="95">
        <v>0</v>
      </c>
      <c r="J42" s="95">
        <v>0</v>
      </c>
      <c r="K42" s="95">
        <f t="shared" si="4"/>
        <v>0</v>
      </c>
    </row>
    <row r="43" spans="1:11" ht="12.75" customHeight="1" x14ac:dyDescent="0.2">
      <c r="A43" s="182" t="s">
        <v>135</v>
      </c>
      <c r="B43" s="182"/>
      <c r="C43" s="182"/>
      <c r="D43" s="182"/>
      <c r="E43" s="182"/>
      <c r="F43" s="182"/>
      <c r="G43" s="7">
        <v>36</v>
      </c>
      <c r="H43" s="95">
        <v>0</v>
      </c>
      <c r="I43" s="95">
        <v>0</v>
      </c>
      <c r="J43" s="95">
        <v>0</v>
      </c>
      <c r="K43" s="95">
        <f t="shared" si="4"/>
        <v>0</v>
      </c>
    </row>
    <row r="44" spans="1:11" ht="12.75" customHeight="1" x14ac:dyDescent="0.2">
      <c r="A44" s="182" t="s">
        <v>136</v>
      </c>
      <c r="B44" s="182"/>
      <c r="C44" s="182"/>
      <c r="D44" s="182"/>
      <c r="E44" s="182"/>
      <c r="F44" s="182"/>
      <c r="G44" s="7">
        <v>37</v>
      </c>
      <c r="H44" s="95">
        <v>410005</v>
      </c>
      <c r="I44" s="95">
        <f>+H44-240032</f>
        <v>169973</v>
      </c>
      <c r="J44" s="95">
        <f>213970.18+42.05</f>
        <v>214012.23</v>
      </c>
      <c r="K44" s="95">
        <f>+J44-100374.12-551.16+42.05</f>
        <v>113129</v>
      </c>
    </row>
    <row r="45" spans="1:11" ht="12.75" customHeight="1" x14ac:dyDescent="0.2">
      <c r="A45" s="182" t="s">
        <v>137</v>
      </c>
      <c r="B45" s="182"/>
      <c r="C45" s="182"/>
      <c r="D45" s="182"/>
      <c r="E45" s="182"/>
      <c r="F45" s="182"/>
      <c r="G45" s="7">
        <v>38</v>
      </c>
      <c r="H45" s="95">
        <v>20266233</v>
      </c>
      <c r="I45" s="95">
        <f>+H45-4741982</f>
        <v>15524251</v>
      </c>
      <c r="J45" s="95">
        <v>3344805.41</v>
      </c>
      <c r="K45" s="95">
        <f>+J45-3344805.41</f>
        <v>0</v>
      </c>
    </row>
    <row r="46" spans="1:11" ht="12.75" customHeight="1" x14ac:dyDescent="0.2">
      <c r="A46" s="182" t="s">
        <v>138</v>
      </c>
      <c r="B46" s="182"/>
      <c r="C46" s="182"/>
      <c r="D46" s="182"/>
      <c r="E46" s="182"/>
      <c r="F46" s="182"/>
      <c r="G46" s="7">
        <v>39</v>
      </c>
      <c r="H46" s="95">
        <v>0</v>
      </c>
      <c r="I46" s="95">
        <f t="shared" ref="I46:I47" si="5">+H46</f>
        <v>0</v>
      </c>
      <c r="J46" s="95">
        <v>0</v>
      </c>
      <c r="K46" s="95">
        <f t="shared" si="4"/>
        <v>0</v>
      </c>
    </row>
    <row r="47" spans="1:11" ht="12.75" customHeight="1" x14ac:dyDescent="0.2">
      <c r="A47" s="182" t="s">
        <v>139</v>
      </c>
      <c r="B47" s="182"/>
      <c r="C47" s="182"/>
      <c r="D47" s="182"/>
      <c r="E47" s="182"/>
      <c r="F47" s="182"/>
      <c r="G47" s="7">
        <v>40</v>
      </c>
      <c r="H47" s="95">
        <v>0</v>
      </c>
      <c r="I47" s="95">
        <f t="shared" si="5"/>
        <v>0</v>
      </c>
      <c r="J47" s="95">
        <v>0</v>
      </c>
      <c r="K47" s="95">
        <f>+J47-0</f>
        <v>0</v>
      </c>
    </row>
    <row r="48" spans="1:11" ht="12.75" customHeight="1" x14ac:dyDescent="0.2">
      <c r="A48" s="216" t="s">
        <v>353</v>
      </c>
      <c r="B48" s="216"/>
      <c r="C48" s="216"/>
      <c r="D48" s="216"/>
      <c r="E48" s="216"/>
      <c r="F48" s="216"/>
      <c r="G48" s="8">
        <v>41</v>
      </c>
      <c r="H48" s="94">
        <f>SUM(H49:H55)</f>
        <v>17529130</v>
      </c>
      <c r="I48" s="94">
        <f>SUM(I49:I55)</f>
        <v>12024812</v>
      </c>
      <c r="J48" s="94">
        <f>SUM(J49:J55)</f>
        <v>16539187.9</v>
      </c>
      <c r="K48" s="94">
        <f>SUM(K49:K55)</f>
        <v>5271208.49</v>
      </c>
    </row>
    <row r="49" spans="1:11" ht="25.15" customHeight="1" x14ac:dyDescent="0.2">
      <c r="A49" s="182" t="s">
        <v>140</v>
      </c>
      <c r="B49" s="182"/>
      <c r="C49" s="182"/>
      <c r="D49" s="182"/>
      <c r="E49" s="182"/>
      <c r="F49" s="182"/>
      <c r="G49" s="7">
        <v>42</v>
      </c>
      <c r="H49" s="95">
        <v>776491</v>
      </c>
      <c r="I49" s="95">
        <f>+H49-674345</f>
        <v>102146</v>
      </c>
      <c r="J49" s="95">
        <v>0</v>
      </c>
      <c r="K49" s="95">
        <f>+J49</f>
        <v>0</v>
      </c>
    </row>
    <row r="50" spans="1:11" ht="12.75" customHeight="1" x14ac:dyDescent="0.2">
      <c r="A50" s="220" t="s">
        <v>141</v>
      </c>
      <c r="B50" s="220"/>
      <c r="C50" s="220"/>
      <c r="D50" s="220"/>
      <c r="E50" s="220"/>
      <c r="F50" s="220"/>
      <c r="G50" s="7">
        <v>43</v>
      </c>
      <c r="H50" s="95">
        <v>0</v>
      </c>
      <c r="I50" s="95">
        <f>+H50</f>
        <v>0</v>
      </c>
      <c r="J50" s="95">
        <v>0</v>
      </c>
      <c r="K50" s="95">
        <f t="shared" ref="K50:K59" si="6">+J50</f>
        <v>0</v>
      </c>
    </row>
    <row r="51" spans="1:11" ht="12.75" customHeight="1" x14ac:dyDescent="0.2">
      <c r="A51" s="220" t="s">
        <v>142</v>
      </c>
      <c r="B51" s="220"/>
      <c r="C51" s="220"/>
      <c r="D51" s="220"/>
      <c r="E51" s="220"/>
      <c r="F51" s="220"/>
      <c r="G51" s="7">
        <v>44</v>
      </c>
      <c r="H51" s="95">
        <v>3796323</v>
      </c>
      <c r="I51" s="95">
        <f>+H51-1708499</f>
        <v>2087824</v>
      </c>
      <c r="J51" s="95">
        <v>6944182.7000000002</v>
      </c>
      <c r="K51" s="95">
        <f>+J51-3349225.82</f>
        <v>3594956.88</v>
      </c>
    </row>
    <row r="52" spans="1:11" ht="12.75" customHeight="1" x14ac:dyDescent="0.2">
      <c r="A52" s="220" t="s">
        <v>143</v>
      </c>
      <c r="B52" s="220"/>
      <c r="C52" s="220"/>
      <c r="D52" s="220"/>
      <c r="E52" s="220"/>
      <c r="F52" s="220"/>
      <c r="G52" s="7">
        <v>45</v>
      </c>
      <c r="H52" s="95">
        <v>12956316</v>
      </c>
      <c r="I52" s="95">
        <f>+H52-3121474</f>
        <v>9834842</v>
      </c>
      <c r="J52" s="95">
        <v>9595005.1999999993</v>
      </c>
      <c r="K52" s="95">
        <f>+J52-8110797.03+(3536848.85-3344805.41)</f>
        <v>1676251.61</v>
      </c>
    </row>
    <row r="53" spans="1:11" ht="12.75" customHeight="1" x14ac:dyDescent="0.2">
      <c r="A53" s="220" t="s">
        <v>144</v>
      </c>
      <c r="B53" s="220"/>
      <c r="C53" s="220"/>
      <c r="D53" s="220"/>
      <c r="E53" s="220"/>
      <c r="F53" s="220"/>
      <c r="G53" s="7">
        <v>46</v>
      </c>
      <c r="H53" s="95">
        <v>0</v>
      </c>
      <c r="I53" s="95">
        <v>0</v>
      </c>
      <c r="J53" s="95">
        <v>0</v>
      </c>
      <c r="K53" s="95">
        <f t="shared" si="6"/>
        <v>0</v>
      </c>
    </row>
    <row r="54" spans="1:11" ht="12.75" customHeight="1" x14ac:dyDescent="0.2">
      <c r="A54" s="220" t="s">
        <v>145</v>
      </c>
      <c r="B54" s="220"/>
      <c r="C54" s="220"/>
      <c r="D54" s="220"/>
      <c r="E54" s="220"/>
      <c r="F54" s="220"/>
      <c r="G54" s="7">
        <v>47</v>
      </c>
      <c r="H54" s="95">
        <v>0</v>
      </c>
      <c r="I54" s="95">
        <v>0</v>
      </c>
      <c r="J54" s="95">
        <v>0</v>
      </c>
      <c r="K54" s="95">
        <f t="shared" si="6"/>
        <v>0</v>
      </c>
    </row>
    <row r="55" spans="1:11" ht="12.75" customHeight="1" x14ac:dyDescent="0.2">
      <c r="A55" s="220" t="s">
        <v>146</v>
      </c>
      <c r="B55" s="220"/>
      <c r="C55" s="220"/>
      <c r="D55" s="220"/>
      <c r="E55" s="220"/>
      <c r="F55" s="220"/>
      <c r="G55" s="7">
        <v>48</v>
      </c>
      <c r="H55" s="95">
        <v>0</v>
      </c>
      <c r="I55" s="95">
        <v>0</v>
      </c>
      <c r="J55" s="95">
        <v>0</v>
      </c>
      <c r="K55" s="95">
        <f t="shared" si="6"/>
        <v>0</v>
      </c>
    </row>
    <row r="56" spans="1:11" ht="22.15" customHeight="1" x14ac:dyDescent="0.2">
      <c r="A56" s="222" t="s">
        <v>147</v>
      </c>
      <c r="B56" s="222"/>
      <c r="C56" s="222"/>
      <c r="D56" s="222"/>
      <c r="E56" s="222"/>
      <c r="F56" s="222"/>
      <c r="G56" s="7">
        <v>49</v>
      </c>
      <c r="H56" s="95">
        <v>0</v>
      </c>
      <c r="I56" s="95">
        <v>0</v>
      </c>
      <c r="J56" s="95">
        <v>0</v>
      </c>
      <c r="K56" s="95">
        <f t="shared" si="6"/>
        <v>0</v>
      </c>
    </row>
    <row r="57" spans="1:11" ht="12.75" customHeight="1" x14ac:dyDescent="0.2">
      <c r="A57" s="222" t="s">
        <v>148</v>
      </c>
      <c r="B57" s="222"/>
      <c r="C57" s="222"/>
      <c r="D57" s="222"/>
      <c r="E57" s="222"/>
      <c r="F57" s="222"/>
      <c r="G57" s="7">
        <v>50</v>
      </c>
      <c r="H57" s="95">
        <v>0</v>
      </c>
      <c r="I57" s="95">
        <v>0</v>
      </c>
      <c r="J57" s="95">
        <v>0</v>
      </c>
      <c r="K57" s="95">
        <f t="shared" si="6"/>
        <v>0</v>
      </c>
    </row>
    <row r="58" spans="1:11" ht="24.6" customHeight="1" x14ac:dyDescent="0.2">
      <c r="A58" s="222" t="s">
        <v>149</v>
      </c>
      <c r="B58" s="222"/>
      <c r="C58" s="222"/>
      <c r="D58" s="222"/>
      <c r="E58" s="222"/>
      <c r="F58" s="222"/>
      <c r="G58" s="7">
        <v>51</v>
      </c>
      <c r="H58" s="95">
        <v>0</v>
      </c>
      <c r="I58" s="95">
        <v>0</v>
      </c>
      <c r="J58" s="95">
        <v>0</v>
      </c>
      <c r="K58" s="95">
        <f t="shared" si="6"/>
        <v>0</v>
      </c>
    </row>
    <row r="59" spans="1:11" ht="12.75" customHeight="1" x14ac:dyDescent="0.2">
      <c r="A59" s="222" t="s">
        <v>150</v>
      </c>
      <c r="B59" s="222"/>
      <c r="C59" s="222"/>
      <c r="D59" s="222"/>
      <c r="E59" s="222"/>
      <c r="F59" s="222"/>
      <c r="G59" s="7">
        <v>52</v>
      </c>
      <c r="H59" s="95">
        <v>0</v>
      </c>
      <c r="I59" s="95">
        <v>0</v>
      </c>
      <c r="J59" s="95">
        <v>0</v>
      </c>
      <c r="K59" s="95">
        <f t="shared" si="6"/>
        <v>0</v>
      </c>
    </row>
    <row r="60" spans="1:11" ht="12.75" customHeight="1" x14ac:dyDescent="0.2">
      <c r="A60" s="216" t="s">
        <v>354</v>
      </c>
      <c r="B60" s="216"/>
      <c r="C60" s="216"/>
      <c r="D60" s="216"/>
      <c r="E60" s="216"/>
      <c r="F60" s="216"/>
      <c r="G60" s="8">
        <v>53</v>
      </c>
      <c r="H60" s="94">
        <f>H8+H37+H56+H57</f>
        <v>133123953</v>
      </c>
      <c r="I60" s="94">
        <f t="shared" ref="I60:K60" si="7">I8+I37+I56+I57</f>
        <v>84781015</v>
      </c>
      <c r="J60" s="94">
        <f t="shared" si="7"/>
        <v>129911814.45999999</v>
      </c>
      <c r="K60" s="94">
        <f t="shared" si="7"/>
        <v>79103436.739999995</v>
      </c>
    </row>
    <row r="61" spans="1:11" ht="12.75" customHeight="1" x14ac:dyDescent="0.2">
      <c r="A61" s="216" t="s">
        <v>355</v>
      </c>
      <c r="B61" s="216"/>
      <c r="C61" s="216"/>
      <c r="D61" s="216"/>
      <c r="E61" s="216"/>
      <c r="F61" s="216"/>
      <c r="G61" s="8">
        <v>54</v>
      </c>
      <c r="H61" s="94">
        <f>H14+H48+H58+H59</f>
        <v>150961335</v>
      </c>
      <c r="I61" s="94">
        <f t="shared" ref="I61:K61" si="8">I14+I48+I58+I59</f>
        <v>86839736</v>
      </c>
      <c r="J61" s="94">
        <f t="shared" si="8"/>
        <v>179575541.03</v>
      </c>
      <c r="K61" s="94">
        <f t="shared" si="8"/>
        <v>98840689.530000001</v>
      </c>
    </row>
    <row r="62" spans="1:11" ht="12.75" customHeight="1" x14ac:dyDescent="0.2">
      <c r="A62" s="216" t="s">
        <v>356</v>
      </c>
      <c r="B62" s="216"/>
      <c r="C62" s="216"/>
      <c r="D62" s="216"/>
      <c r="E62" s="216"/>
      <c r="F62" s="216"/>
      <c r="G62" s="8">
        <v>55</v>
      </c>
      <c r="H62" s="94">
        <f>H60-H61</f>
        <v>-17837382</v>
      </c>
      <c r="I62" s="94">
        <f t="shared" ref="I62:K62" si="9">I60-I61</f>
        <v>-2058721</v>
      </c>
      <c r="J62" s="94">
        <f t="shared" si="9"/>
        <v>-49663726.57</v>
      </c>
      <c r="K62" s="94">
        <f t="shared" si="9"/>
        <v>-19737252.789999999</v>
      </c>
    </row>
    <row r="63" spans="1:11" ht="12.75" customHeight="1" x14ac:dyDescent="0.2">
      <c r="A63" s="221" t="s">
        <v>357</v>
      </c>
      <c r="B63" s="221"/>
      <c r="C63" s="221"/>
      <c r="D63" s="221"/>
      <c r="E63" s="221"/>
      <c r="F63" s="221"/>
      <c r="G63" s="8">
        <v>56</v>
      </c>
      <c r="H63" s="94">
        <f>+IF((H60-H61)&gt;0,(H60-H61),0)</f>
        <v>0</v>
      </c>
      <c r="I63" s="94">
        <f t="shared" ref="I63:K63" si="10">+IF((I60-I61)&gt;0,(I60-I61),0)</f>
        <v>0</v>
      </c>
      <c r="J63" s="94">
        <f t="shared" si="10"/>
        <v>0</v>
      </c>
      <c r="K63" s="94">
        <f t="shared" si="10"/>
        <v>0</v>
      </c>
    </row>
    <row r="64" spans="1:11" ht="12.75" customHeight="1" x14ac:dyDescent="0.2">
      <c r="A64" s="221" t="s">
        <v>358</v>
      </c>
      <c r="B64" s="221"/>
      <c r="C64" s="221"/>
      <c r="D64" s="221"/>
      <c r="E64" s="221"/>
      <c r="F64" s="221"/>
      <c r="G64" s="8">
        <v>57</v>
      </c>
      <c r="H64" s="94">
        <f>+IF((H60-H61)&lt;0,(H60-H61),0)</f>
        <v>-17837382</v>
      </c>
      <c r="I64" s="94">
        <f t="shared" ref="I64:K64" si="11">+IF((I60-I61)&lt;0,(I60-I61),0)</f>
        <v>-2058721</v>
      </c>
      <c r="J64" s="94">
        <f t="shared" si="11"/>
        <v>-49663726.57</v>
      </c>
      <c r="K64" s="94">
        <f t="shared" si="11"/>
        <v>-19737252.789999999</v>
      </c>
    </row>
    <row r="65" spans="1:11" ht="12.75" customHeight="1" x14ac:dyDescent="0.2">
      <c r="A65" s="222" t="s">
        <v>111</v>
      </c>
      <c r="B65" s="222"/>
      <c r="C65" s="222"/>
      <c r="D65" s="222"/>
      <c r="E65" s="222"/>
      <c r="F65" s="222"/>
      <c r="G65" s="7">
        <v>58</v>
      </c>
      <c r="H65" s="95">
        <v>0</v>
      </c>
      <c r="I65" s="95">
        <v>0</v>
      </c>
      <c r="J65" s="95">
        <v>0</v>
      </c>
      <c r="K65" s="95">
        <v>0</v>
      </c>
    </row>
    <row r="66" spans="1:11" ht="12.75" customHeight="1" x14ac:dyDescent="0.2">
      <c r="A66" s="216" t="s">
        <v>359</v>
      </c>
      <c r="B66" s="216"/>
      <c r="C66" s="216"/>
      <c r="D66" s="216"/>
      <c r="E66" s="216"/>
      <c r="F66" s="216"/>
      <c r="G66" s="8">
        <v>59</v>
      </c>
      <c r="H66" s="94">
        <f>H62-H65</f>
        <v>-17837382</v>
      </c>
      <c r="I66" s="94">
        <f t="shared" ref="I66:K66" si="12">I62-I65</f>
        <v>-2058721</v>
      </c>
      <c r="J66" s="94">
        <f t="shared" si="12"/>
        <v>-49663726.57</v>
      </c>
      <c r="K66" s="94">
        <f t="shared" si="12"/>
        <v>-19737252.789999999</v>
      </c>
    </row>
    <row r="67" spans="1:11" ht="12.75" customHeight="1" x14ac:dyDescent="0.2">
      <c r="A67" s="221" t="s">
        <v>360</v>
      </c>
      <c r="B67" s="221"/>
      <c r="C67" s="221"/>
      <c r="D67" s="221"/>
      <c r="E67" s="221"/>
      <c r="F67" s="221"/>
      <c r="G67" s="8">
        <v>60</v>
      </c>
      <c r="H67" s="94">
        <f>+IF((H62-H65)&gt;0,(H62-H65),0)</f>
        <v>0</v>
      </c>
      <c r="I67" s="94">
        <f t="shared" ref="I67:K67" si="13">+IF((I62-I65)&gt;0,(I62-I65),0)</f>
        <v>0</v>
      </c>
      <c r="J67" s="94">
        <f t="shared" si="13"/>
        <v>0</v>
      </c>
      <c r="K67" s="94">
        <f t="shared" si="13"/>
        <v>0</v>
      </c>
    </row>
    <row r="68" spans="1:11" ht="12.75" customHeight="1" x14ac:dyDescent="0.2">
      <c r="A68" s="221" t="s">
        <v>361</v>
      </c>
      <c r="B68" s="221"/>
      <c r="C68" s="221"/>
      <c r="D68" s="221"/>
      <c r="E68" s="221"/>
      <c r="F68" s="221"/>
      <c r="G68" s="8">
        <v>61</v>
      </c>
      <c r="H68" s="94">
        <f>+IF((H62-H65)&lt;0,(H62-H65),0)</f>
        <v>-17837382</v>
      </c>
      <c r="I68" s="94">
        <f t="shared" ref="I68:K68" si="14">+IF((I62-I65)&lt;0,(I62-I65),0)</f>
        <v>-2058721</v>
      </c>
      <c r="J68" s="94">
        <f t="shared" si="14"/>
        <v>-49663726.57</v>
      </c>
      <c r="K68" s="94">
        <f t="shared" si="14"/>
        <v>-19737252.789999999</v>
      </c>
    </row>
    <row r="69" spans="1:11" x14ac:dyDescent="0.2">
      <c r="A69" s="223" t="s">
        <v>151</v>
      </c>
      <c r="B69" s="223"/>
      <c r="C69" s="223"/>
      <c r="D69" s="223"/>
      <c r="E69" s="223"/>
      <c r="F69" s="223"/>
      <c r="G69" s="224"/>
      <c r="H69" s="224"/>
      <c r="I69" s="224"/>
      <c r="J69" s="225"/>
      <c r="K69" s="225"/>
    </row>
    <row r="70" spans="1:11" ht="22.15" customHeight="1" x14ac:dyDescent="0.2">
      <c r="A70" s="216" t="s">
        <v>362</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f t="shared" ref="K73" si="15">+J73</f>
        <v>0</v>
      </c>
    </row>
    <row r="74" spans="1:11" ht="12.75" customHeight="1" x14ac:dyDescent="0.2">
      <c r="A74" s="221" t="s">
        <v>363</v>
      </c>
      <c r="B74" s="221"/>
      <c r="C74" s="221"/>
      <c r="D74" s="221"/>
      <c r="E74" s="221"/>
      <c r="F74" s="221"/>
      <c r="G74" s="8">
        <v>66</v>
      </c>
      <c r="H74" s="96">
        <v>0</v>
      </c>
      <c r="I74" s="96">
        <v>0</v>
      </c>
      <c r="J74" s="96">
        <v>0</v>
      </c>
      <c r="K74" s="96">
        <v>0</v>
      </c>
    </row>
    <row r="75" spans="1:11" ht="12.75" customHeight="1" x14ac:dyDescent="0.2">
      <c r="A75" s="221" t="s">
        <v>364</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365</v>
      </c>
      <c r="B77" s="216"/>
      <c r="C77" s="216"/>
      <c r="D77" s="216"/>
      <c r="E77" s="216"/>
      <c r="F77" s="216"/>
      <c r="G77" s="8">
        <v>68</v>
      </c>
      <c r="H77" s="96">
        <v>0</v>
      </c>
      <c r="I77" s="96">
        <v>0</v>
      </c>
      <c r="J77" s="96">
        <v>0</v>
      </c>
      <c r="K77" s="96">
        <v>0</v>
      </c>
    </row>
    <row r="78" spans="1:11" ht="12.75" customHeight="1" x14ac:dyDescent="0.2">
      <c r="A78" s="226" t="s">
        <v>366</v>
      </c>
      <c r="B78" s="226"/>
      <c r="C78" s="226"/>
      <c r="D78" s="226"/>
      <c r="E78" s="226"/>
      <c r="F78" s="226"/>
      <c r="G78" s="20">
        <v>69</v>
      </c>
      <c r="H78" s="97">
        <v>0</v>
      </c>
      <c r="I78" s="97">
        <v>0</v>
      </c>
      <c r="J78" s="97">
        <v>0</v>
      </c>
      <c r="K78" s="97">
        <f>+J78</f>
        <v>0</v>
      </c>
    </row>
    <row r="79" spans="1:11" ht="12.75" customHeight="1" x14ac:dyDescent="0.2">
      <c r="A79" s="226" t="s">
        <v>367</v>
      </c>
      <c r="B79" s="226"/>
      <c r="C79" s="226"/>
      <c r="D79" s="226"/>
      <c r="E79" s="226"/>
      <c r="F79" s="226"/>
      <c r="G79" s="20">
        <v>70</v>
      </c>
      <c r="H79" s="97">
        <v>0</v>
      </c>
      <c r="I79" s="97">
        <v>0</v>
      </c>
      <c r="J79" s="97">
        <v>0</v>
      </c>
      <c r="K79" s="97">
        <f>+J79</f>
        <v>0</v>
      </c>
    </row>
    <row r="80" spans="1:11" ht="12.75" customHeight="1" x14ac:dyDescent="0.2">
      <c r="A80" s="216" t="s">
        <v>368</v>
      </c>
      <c r="B80" s="216"/>
      <c r="C80" s="216"/>
      <c r="D80" s="216"/>
      <c r="E80" s="216"/>
      <c r="F80" s="216"/>
      <c r="G80" s="8">
        <v>71</v>
      </c>
      <c r="H80" s="96">
        <v>0</v>
      </c>
      <c r="I80" s="96">
        <v>0</v>
      </c>
      <c r="J80" s="96">
        <v>0</v>
      </c>
      <c r="K80" s="96">
        <v>0</v>
      </c>
    </row>
    <row r="81" spans="1:11" ht="12.75" customHeight="1" x14ac:dyDescent="0.2">
      <c r="A81" s="216" t="s">
        <v>369</v>
      </c>
      <c r="B81" s="216"/>
      <c r="C81" s="216"/>
      <c r="D81" s="216"/>
      <c r="E81" s="216"/>
      <c r="F81" s="216"/>
      <c r="G81" s="8">
        <v>72</v>
      </c>
      <c r="H81" s="96">
        <v>0</v>
      </c>
      <c r="I81" s="96">
        <v>0</v>
      </c>
      <c r="J81" s="96">
        <v>0</v>
      </c>
      <c r="K81" s="96">
        <v>0</v>
      </c>
    </row>
    <row r="82" spans="1:11" ht="12.75" customHeight="1" x14ac:dyDescent="0.2">
      <c r="A82" s="221" t="s">
        <v>370</v>
      </c>
      <c r="B82" s="221"/>
      <c r="C82" s="221"/>
      <c r="D82" s="221"/>
      <c r="E82" s="221"/>
      <c r="F82" s="221"/>
      <c r="G82" s="8">
        <v>73</v>
      </c>
      <c r="H82" s="96">
        <v>0</v>
      </c>
      <c r="I82" s="96">
        <v>0</v>
      </c>
      <c r="J82" s="96">
        <v>0</v>
      </c>
      <c r="K82" s="96">
        <v>0</v>
      </c>
    </row>
    <row r="83" spans="1:11" ht="12.75" customHeight="1" x14ac:dyDescent="0.2">
      <c r="A83" s="221" t="s">
        <v>371</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372</v>
      </c>
      <c r="B85" s="227"/>
      <c r="C85" s="227"/>
      <c r="D85" s="227"/>
      <c r="E85" s="227"/>
      <c r="F85" s="227"/>
      <c r="G85" s="8">
        <v>75</v>
      </c>
      <c r="H85" s="98">
        <f>H86+H87</f>
        <v>-17837382</v>
      </c>
      <c r="I85" s="98">
        <f>I86+I87</f>
        <v>-2058721</v>
      </c>
      <c r="J85" s="98">
        <f>J86+J87</f>
        <v>-49663726.57</v>
      </c>
      <c r="K85" s="98">
        <f>K86+K87</f>
        <v>-19737252.789999999</v>
      </c>
    </row>
    <row r="86" spans="1:11" ht="12.75" customHeight="1" x14ac:dyDescent="0.2">
      <c r="A86" s="228" t="s">
        <v>156</v>
      </c>
      <c r="B86" s="228"/>
      <c r="C86" s="228"/>
      <c r="D86" s="228"/>
      <c r="E86" s="228"/>
      <c r="F86" s="228"/>
      <c r="G86" s="7">
        <v>76</v>
      </c>
      <c r="H86" s="99">
        <f t="shared" ref="H86:K86" si="16">H66</f>
        <v>-17837382</v>
      </c>
      <c r="I86" s="99">
        <f t="shared" si="16"/>
        <v>-2058721</v>
      </c>
      <c r="J86" s="99">
        <f t="shared" si="16"/>
        <v>-49663726.57</v>
      </c>
      <c r="K86" s="99">
        <f t="shared" si="16"/>
        <v>-19737252.789999999</v>
      </c>
    </row>
    <row r="87" spans="1:11" ht="12.75" customHeight="1" x14ac:dyDescent="0.2">
      <c r="A87" s="228" t="s">
        <v>157</v>
      </c>
      <c r="B87" s="228"/>
      <c r="C87" s="228"/>
      <c r="D87" s="228"/>
      <c r="E87" s="228"/>
      <c r="F87" s="228"/>
      <c r="G87" s="7">
        <v>77</v>
      </c>
      <c r="H87" s="99">
        <v>0</v>
      </c>
      <c r="I87" s="99">
        <v>0</v>
      </c>
      <c r="J87" s="99">
        <v>0</v>
      </c>
      <c r="K87" s="99">
        <f>+J87</f>
        <v>0</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f t="shared" ref="H89:K89" si="17">+H86</f>
        <v>-17837382</v>
      </c>
      <c r="I89" s="99">
        <f t="shared" si="17"/>
        <v>-2058721</v>
      </c>
      <c r="J89" s="99">
        <f t="shared" si="17"/>
        <v>-49663726.57</v>
      </c>
      <c r="K89" s="99">
        <f t="shared" si="17"/>
        <v>-19737252.789999999</v>
      </c>
    </row>
    <row r="90" spans="1:11" ht="24" customHeight="1" x14ac:dyDescent="0.2">
      <c r="A90" s="184" t="s">
        <v>420</v>
      </c>
      <c r="B90" s="184"/>
      <c r="C90" s="184"/>
      <c r="D90" s="184"/>
      <c r="E90" s="184"/>
      <c r="F90" s="184"/>
      <c r="G90" s="8">
        <v>79</v>
      </c>
      <c r="H90" s="100">
        <f>H91+H98</f>
        <v>777261</v>
      </c>
      <c r="I90" s="100">
        <f>I91+I98</f>
        <v>777261</v>
      </c>
      <c r="J90" s="100">
        <f t="shared" ref="J90:K90" si="18">J91+J98</f>
        <v>0</v>
      </c>
      <c r="K90" s="100">
        <f t="shared" si="18"/>
        <v>0</v>
      </c>
    </row>
    <row r="91" spans="1:11" ht="24" customHeight="1" x14ac:dyDescent="0.2">
      <c r="A91" s="231" t="s">
        <v>427</v>
      </c>
      <c r="B91" s="231"/>
      <c r="C91" s="231"/>
      <c r="D91" s="231"/>
      <c r="E91" s="231"/>
      <c r="F91" s="231"/>
      <c r="G91" s="8">
        <v>80</v>
      </c>
      <c r="H91" s="100">
        <f>SUM(H92:H96)</f>
        <v>777261</v>
      </c>
      <c r="I91" s="100">
        <f>SUM(I92:I96)</f>
        <v>777261</v>
      </c>
      <c r="J91" s="100">
        <f t="shared" ref="J91:K91" si="19">SUM(J92:J96)</f>
        <v>0</v>
      </c>
      <c r="K91" s="100">
        <f t="shared" si="19"/>
        <v>0</v>
      </c>
    </row>
    <row r="92" spans="1:11" ht="25.5" customHeight="1" x14ac:dyDescent="0.2">
      <c r="A92" s="220" t="s">
        <v>373</v>
      </c>
      <c r="B92" s="220"/>
      <c r="C92" s="220"/>
      <c r="D92" s="220"/>
      <c r="E92" s="220"/>
      <c r="F92" s="220"/>
      <c r="G92" s="7">
        <v>81</v>
      </c>
      <c r="H92" s="99">
        <v>777261</v>
      </c>
      <c r="I92" s="99">
        <f>H92-0</f>
        <v>777261</v>
      </c>
      <c r="J92" s="99">
        <v>0</v>
      </c>
      <c r="K92" s="99">
        <f>+J92</f>
        <v>0</v>
      </c>
    </row>
    <row r="93" spans="1:11" ht="38.25" customHeight="1" x14ac:dyDescent="0.2">
      <c r="A93" s="220" t="s">
        <v>374</v>
      </c>
      <c r="B93" s="220"/>
      <c r="C93" s="220"/>
      <c r="D93" s="220"/>
      <c r="E93" s="220"/>
      <c r="F93" s="220"/>
      <c r="G93" s="7">
        <v>82</v>
      </c>
      <c r="H93" s="99">
        <v>0</v>
      </c>
      <c r="I93" s="99">
        <v>0</v>
      </c>
      <c r="J93" s="99">
        <v>0</v>
      </c>
      <c r="K93" s="99">
        <f t="shared" ref="K93:K97" si="20">+J93</f>
        <v>0</v>
      </c>
    </row>
    <row r="94" spans="1:11" ht="38.25" customHeight="1" x14ac:dyDescent="0.2">
      <c r="A94" s="220" t="s">
        <v>375</v>
      </c>
      <c r="B94" s="220"/>
      <c r="C94" s="220"/>
      <c r="D94" s="220"/>
      <c r="E94" s="220"/>
      <c r="F94" s="220"/>
      <c r="G94" s="7">
        <v>83</v>
      </c>
      <c r="H94" s="99">
        <v>0</v>
      </c>
      <c r="I94" s="99">
        <v>0</v>
      </c>
      <c r="J94" s="99">
        <v>0</v>
      </c>
      <c r="K94" s="99">
        <f t="shared" si="20"/>
        <v>0</v>
      </c>
    </row>
    <row r="95" spans="1:11" x14ac:dyDescent="0.2">
      <c r="A95" s="220" t="s">
        <v>376</v>
      </c>
      <c r="B95" s="220"/>
      <c r="C95" s="220"/>
      <c r="D95" s="220"/>
      <c r="E95" s="220"/>
      <c r="F95" s="220"/>
      <c r="G95" s="7">
        <v>84</v>
      </c>
      <c r="H95" s="99">
        <v>0</v>
      </c>
      <c r="I95" s="99">
        <v>0</v>
      </c>
      <c r="J95" s="99">
        <v>0</v>
      </c>
      <c r="K95" s="99">
        <f t="shared" si="20"/>
        <v>0</v>
      </c>
    </row>
    <row r="96" spans="1:11" x14ac:dyDescent="0.2">
      <c r="A96" s="220" t="s">
        <v>377</v>
      </c>
      <c r="B96" s="220"/>
      <c r="C96" s="220"/>
      <c r="D96" s="220"/>
      <c r="E96" s="220"/>
      <c r="F96" s="220"/>
      <c r="G96" s="7">
        <v>85</v>
      </c>
      <c r="H96" s="99">
        <v>0</v>
      </c>
      <c r="I96" s="99">
        <v>0</v>
      </c>
      <c r="J96" s="99">
        <v>0</v>
      </c>
      <c r="K96" s="99">
        <f t="shared" si="20"/>
        <v>0</v>
      </c>
    </row>
    <row r="97" spans="1:11" ht="26.25" customHeight="1" x14ac:dyDescent="0.2">
      <c r="A97" s="220" t="s">
        <v>378</v>
      </c>
      <c r="B97" s="220"/>
      <c r="C97" s="220"/>
      <c r="D97" s="220"/>
      <c r="E97" s="220"/>
      <c r="F97" s="220"/>
      <c r="G97" s="7">
        <v>86</v>
      </c>
      <c r="H97" s="99">
        <v>0</v>
      </c>
      <c r="I97" s="99">
        <v>0</v>
      </c>
      <c r="J97" s="99">
        <v>0</v>
      </c>
      <c r="K97" s="99">
        <f t="shared" si="20"/>
        <v>0</v>
      </c>
    </row>
    <row r="98" spans="1:11" ht="25.5" customHeight="1" x14ac:dyDescent="0.2">
      <c r="A98" s="231" t="s">
        <v>421</v>
      </c>
      <c r="B98" s="231"/>
      <c r="C98" s="231"/>
      <c r="D98" s="231"/>
      <c r="E98" s="231"/>
      <c r="F98" s="231"/>
      <c r="G98" s="8">
        <v>87</v>
      </c>
      <c r="H98" s="100">
        <f>SUM(H99:H108)</f>
        <v>0</v>
      </c>
      <c r="I98" s="100">
        <f t="shared" ref="I98:J98" si="21">SUM(I99:I108)</f>
        <v>0</v>
      </c>
      <c r="J98" s="100">
        <f t="shared" si="21"/>
        <v>0</v>
      </c>
      <c r="K98" s="100">
        <f>SUM(K99:K108)</f>
        <v>0</v>
      </c>
    </row>
    <row r="99" spans="1:11" x14ac:dyDescent="0.2">
      <c r="A99" s="232" t="s">
        <v>159</v>
      </c>
      <c r="B99" s="232"/>
      <c r="C99" s="232"/>
      <c r="D99" s="232"/>
      <c r="E99" s="232"/>
      <c r="F99" s="232"/>
      <c r="G99" s="7">
        <v>88</v>
      </c>
      <c r="H99" s="99">
        <v>0</v>
      </c>
      <c r="I99" s="99">
        <v>0</v>
      </c>
      <c r="J99" s="99">
        <v>0</v>
      </c>
      <c r="K99" s="99">
        <f>+J99</f>
        <v>0</v>
      </c>
    </row>
    <row r="100" spans="1:11" x14ac:dyDescent="0.2">
      <c r="A100" s="232" t="s">
        <v>445</v>
      </c>
      <c r="B100" s="232"/>
      <c r="C100" s="232"/>
      <c r="D100" s="232"/>
      <c r="E100" s="232"/>
      <c r="F100" s="232"/>
      <c r="G100" s="7">
        <v>89</v>
      </c>
      <c r="H100" s="99">
        <v>0</v>
      </c>
      <c r="I100" s="99">
        <v>0</v>
      </c>
      <c r="J100" s="99">
        <v>0</v>
      </c>
      <c r="K100" s="99">
        <f t="shared" ref="K100:K108" si="22">+J100</f>
        <v>0</v>
      </c>
    </row>
    <row r="101" spans="1:11" ht="36" customHeight="1" x14ac:dyDescent="0.2">
      <c r="A101" s="220" t="s">
        <v>446</v>
      </c>
      <c r="B101" s="220"/>
      <c r="C101" s="220"/>
      <c r="D101" s="220"/>
      <c r="E101" s="220"/>
      <c r="F101" s="220"/>
      <c r="G101" s="7">
        <v>90</v>
      </c>
      <c r="H101" s="99">
        <v>0</v>
      </c>
      <c r="I101" s="99">
        <v>0</v>
      </c>
      <c r="J101" s="99">
        <v>0</v>
      </c>
      <c r="K101" s="99">
        <f t="shared" si="22"/>
        <v>0</v>
      </c>
    </row>
    <row r="102" spans="1:11" ht="22.15" customHeight="1" x14ac:dyDescent="0.2">
      <c r="A102" s="232" t="s">
        <v>160</v>
      </c>
      <c r="B102" s="232"/>
      <c r="C102" s="232"/>
      <c r="D102" s="232"/>
      <c r="E102" s="232"/>
      <c r="F102" s="232"/>
      <c r="G102" s="7">
        <v>91</v>
      </c>
      <c r="H102" s="99">
        <v>0</v>
      </c>
      <c r="I102" s="99">
        <v>0</v>
      </c>
      <c r="J102" s="99">
        <v>0</v>
      </c>
      <c r="K102" s="99">
        <f t="shared" si="22"/>
        <v>0</v>
      </c>
    </row>
    <row r="103" spans="1:11" ht="22.15" customHeight="1" x14ac:dyDescent="0.2">
      <c r="A103" s="232" t="s">
        <v>161</v>
      </c>
      <c r="B103" s="232"/>
      <c r="C103" s="232"/>
      <c r="D103" s="232"/>
      <c r="E103" s="232"/>
      <c r="F103" s="232"/>
      <c r="G103" s="7">
        <v>92</v>
      </c>
      <c r="H103" s="99">
        <v>0</v>
      </c>
      <c r="I103" s="99">
        <v>0</v>
      </c>
      <c r="J103" s="99">
        <v>0</v>
      </c>
      <c r="K103" s="99">
        <f t="shared" si="22"/>
        <v>0</v>
      </c>
    </row>
    <row r="104" spans="1:11" ht="22.15" customHeight="1" x14ac:dyDescent="0.2">
      <c r="A104" s="232" t="s">
        <v>162</v>
      </c>
      <c r="B104" s="232"/>
      <c r="C104" s="232"/>
      <c r="D104" s="232"/>
      <c r="E104" s="232"/>
      <c r="F104" s="232"/>
      <c r="G104" s="7">
        <v>93</v>
      </c>
      <c r="H104" s="99">
        <v>0</v>
      </c>
      <c r="I104" s="99">
        <v>0</v>
      </c>
      <c r="J104" s="99">
        <v>0</v>
      </c>
      <c r="K104" s="99">
        <f t="shared" si="22"/>
        <v>0</v>
      </c>
    </row>
    <row r="105" spans="1:11" ht="12.75" customHeight="1" x14ac:dyDescent="0.2">
      <c r="A105" s="220" t="s">
        <v>447</v>
      </c>
      <c r="B105" s="220"/>
      <c r="C105" s="220"/>
      <c r="D105" s="220"/>
      <c r="E105" s="220"/>
      <c r="F105" s="220"/>
      <c r="G105" s="7">
        <v>94</v>
      </c>
      <c r="H105" s="99">
        <v>0</v>
      </c>
      <c r="I105" s="99">
        <v>0</v>
      </c>
      <c r="J105" s="99">
        <v>0</v>
      </c>
      <c r="K105" s="99">
        <f t="shared" si="22"/>
        <v>0</v>
      </c>
    </row>
    <row r="106" spans="1:11" ht="26.25" customHeight="1" x14ac:dyDescent="0.2">
      <c r="A106" s="220" t="s">
        <v>448</v>
      </c>
      <c r="B106" s="220"/>
      <c r="C106" s="220"/>
      <c r="D106" s="220"/>
      <c r="E106" s="220"/>
      <c r="F106" s="220"/>
      <c r="G106" s="7">
        <v>95</v>
      </c>
      <c r="H106" s="99">
        <v>0</v>
      </c>
      <c r="I106" s="99">
        <v>0</v>
      </c>
      <c r="J106" s="99">
        <v>0</v>
      </c>
      <c r="K106" s="99">
        <f t="shared" si="22"/>
        <v>0</v>
      </c>
    </row>
    <row r="107" spans="1:11" x14ac:dyDescent="0.2">
      <c r="A107" s="220" t="s">
        <v>449</v>
      </c>
      <c r="B107" s="220"/>
      <c r="C107" s="220"/>
      <c r="D107" s="220"/>
      <c r="E107" s="220"/>
      <c r="F107" s="220"/>
      <c r="G107" s="7">
        <v>96</v>
      </c>
      <c r="H107" s="99">
        <v>0</v>
      </c>
      <c r="I107" s="99">
        <v>0</v>
      </c>
      <c r="J107" s="99">
        <v>0</v>
      </c>
      <c r="K107" s="99">
        <f t="shared" si="22"/>
        <v>0</v>
      </c>
    </row>
    <row r="108" spans="1:11" ht="24.75" customHeight="1" x14ac:dyDescent="0.2">
      <c r="A108" s="220" t="s">
        <v>450</v>
      </c>
      <c r="B108" s="220"/>
      <c r="C108" s="220"/>
      <c r="D108" s="220"/>
      <c r="E108" s="220"/>
      <c r="F108" s="220"/>
      <c r="G108" s="7">
        <v>97</v>
      </c>
      <c r="H108" s="99">
        <v>0</v>
      </c>
      <c r="I108" s="99">
        <v>0</v>
      </c>
      <c r="J108" s="99">
        <v>0</v>
      </c>
      <c r="K108" s="99">
        <f t="shared" si="22"/>
        <v>0</v>
      </c>
    </row>
    <row r="109" spans="1:11" ht="22.9" customHeight="1" x14ac:dyDescent="0.2">
      <c r="A109" s="184" t="s">
        <v>422</v>
      </c>
      <c r="B109" s="184"/>
      <c r="C109" s="184"/>
      <c r="D109" s="184"/>
      <c r="E109" s="184"/>
      <c r="F109" s="184"/>
      <c r="G109" s="8">
        <v>98</v>
      </c>
      <c r="H109" s="100">
        <f>H91+H98-H108-H97</f>
        <v>777261</v>
      </c>
      <c r="I109" s="100">
        <f>I91+I98-I108-I97</f>
        <v>777261</v>
      </c>
      <c r="J109" s="100">
        <f>J91+J98-J108-J97</f>
        <v>0</v>
      </c>
      <c r="K109" s="100">
        <f>K91+K98-K108-K97</f>
        <v>0</v>
      </c>
    </row>
    <row r="110" spans="1:11" ht="12.75" customHeight="1" x14ac:dyDescent="0.2">
      <c r="A110" s="184" t="s">
        <v>379</v>
      </c>
      <c r="B110" s="184"/>
      <c r="C110" s="184"/>
      <c r="D110" s="184"/>
      <c r="E110" s="184"/>
      <c r="F110" s="184"/>
      <c r="G110" s="8">
        <v>99</v>
      </c>
      <c r="H110" s="98">
        <f>H89+H109</f>
        <v>-17060121</v>
      </c>
      <c r="I110" s="98">
        <f>I89+I109</f>
        <v>-1281460</v>
      </c>
      <c r="J110" s="98">
        <f t="shared" ref="J110:K110" si="23">J89+J109</f>
        <v>-49663726.57</v>
      </c>
      <c r="K110" s="98">
        <f t="shared" si="23"/>
        <v>-19737252.789999999</v>
      </c>
    </row>
    <row r="111" spans="1:11" x14ac:dyDescent="0.2">
      <c r="A111" s="223" t="s">
        <v>163</v>
      </c>
      <c r="B111" s="223"/>
      <c r="C111" s="223"/>
      <c r="D111" s="223"/>
      <c r="E111" s="223"/>
      <c r="F111" s="223"/>
      <c r="G111" s="224"/>
      <c r="H111" s="224"/>
      <c r="I111" s="224"/>
      <c r="J111" s="225"/>
      <c r="K111" s="225"/>
    </row>
    <row r="112" spans="1:11" ht="12.75" customHeight="1" x14ac:dyDescent="0.2">
      <c r="A112" s="227" t="s">
        <v>380</v>
      </c>
      <c r="B112" s="227"/>
      <c r="C112" s="227"/>
      <c r="D112" s="227"/>
      <c r="E112" s="227"/>
      <c r="F112" s="227"/>
      <c r="G112" s="8">
        <v>100</v>
      </c>
      <c r="H112" s="98">
        <f>H113+H114</f>
        <v>-17060121</v>
      </c>
      <c r="I112" s="98">
        <f>I113+I114</f>
        <v>-1281460</v>
      </c>
      <c r="J112" s="98">
        <f>J113+J114</f>
        <v>-49663726.57</v>
      </c>
      <c r="K112" s="98">
        <f>K113+K114</f>
        <v>-19737315.920000002</v>
      </c>
    </row>
    <row r="113" spans="1:11" ht="12.75" customHeight="1" x14ac:dyDescent="0.2">
      <c r="A113" s="228" t="s">
        <v>113</v>
      </c>
      <c r="B113" s="228"/>
      <c r="C113" s="228"/>
      <c r="D113" s="228"/>
      <c r="E113" s="228"/>
      <c r="F113" s="228"/>
      <c r="G113" s="7">
        <v>101</v>
      </c>
      <c r="H113" s="99">
        <f t="shared" ref="H113:J113" si="24">H110</f>
        <v>-17060121</v>
      </c>
      <c r="I113" s="99">
        <f t="shared" si="24"/>
        <v>-1281460</v>
      </c>
      <c r="J113" s="99">
        <f t="shared" si="24"/>
        <v>-49663726.57</v>
      </c>
      <c r="K113" s="99">
        <f>+J113+29926410.65</f>
        <v>-19737315.920000002</v>
      </c>
    </row>
    <row r="114" spans="1:11" ht="12.75" customHeight="1" x14ac:dyDescent="0.2">
      <c r="A114" s="228" t="s">
        <v>164</v>
      </c>
      <c r="B114" s="228"/>
      <c r="C114" s="228"/>
      <c r="D114" s="228"/>
      <c r="E114" s="228"/>
      <c r="F114" s="228"/>
      <c r="G114" s="7">
        <v>102</v>
      </c>
      <c r="H114" s="99">
        <v>0</v>
      </c>
      <c r="I114" s="99">
        <v>0</v>
      </c>
      <c r="J114" s="99">
        <v>0</v>
      </c>
      <c r="K114" s="99">
        <f>+J114</f>
        <v>0</v>
      </c>
    </row>
  </sheetData>
  <sheetProtection algorithmName="SHA-512" hashValue="oMcJr60JC/gChUl9wgz+MJtV+pTiHZmjDs0rW+osRsUbCuRi/Ywe3IEvuMMVFHz4ZdAyY6eGMvwB1fEYWQGryw==" saltValue="PU+m2beAB8W+W4Xa0OXAOg=="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4803149606299213" right="0.15748031496062992" top="0.98425196850393704" bottom="0.98425196850393704" header="0.51181102362204722" footer="0.51181102362204722"/>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zoomScaleNormal="100" zoomScaleSheetLayoutView="85" workbookViewId="0">
      <selection activeCell="I16" sqref="I16"/>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474</v>
      </c>
      <c r="B2" s="188"/>
      <c r="C2" s="188"/>
      <c r="D2" s="188"/>
      <c r="E2" s="188"/>
      <c r="F2" s="188"/>
      <c r="G2" s="188"/>
      <c r="H2" s="188"/>
      <c r="I2" s="188"/>
    </row>
    <row r="3" spans="1:9" x14ac:dyDescent="0.2">
      <c r="A3" s="237" t="s">
        <v>443</v>
      </c>
      <c r="B3" s="238"/>
      <c r="C3" s="238"/>
      <c r="D3" s="238"/>
      <c r="E3" s="238"/>
      <c r="F3" s="238"/>
      <c r="G3" s="238"/>
      <c r="H3" s="238"/>
      <c r="I3" s="238"/>
    </row>
    <row r="4" spans="1:9" x14ac:dyDescent="0.2">
      <c r="A4" s="236" t="s">
        <v>471</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v>-17837382</v>
      </c>
      <c r="I8" s="101">
        <f>RDG!J66</f>
        <v>-49663726.57</v>
      </c>
    </row>
    <row r="9" spans="1:9" ht="12.75" customHeight="1" x14ac:dyDescent="0.2">
      <c r="A9" s="240" t="s">
        <v>170</v>
      </c>
      <c r="B9" s="240"/>
      <c r="C9" s="240"/>
      <c r="D9" s="240"/>
      <c r="E9" s="240"/>
      <c r="F9" s="240"/>
      <c r="G9" s="32">
        <v>2</v>
      </c>
      <c r="H9" s="102">
        <f>H10+H11+H12+H13+H14+H15+H16+H17</f>
        <v>-1527966</v>
      </c>
      <c r="I9" s="102">
        <f>I10+I11+I12+I13+I14+I15+I16+I17</f>
        <v>27055416.640000001</v>
      </c>
    </row>
    <row r="10" spans="1:9" ht="12.75" customHeight="1" x14ac:dyDescent="0.2">
      <c r="A10" s="217" t="s">
        <v>171</v>
      </c>
      <c r="B10" s="217"/>
      <c r="C10" s="217"/>
      <c r="D10" s="217"/>
      <c r="E10" s="217"/>
      <c r="F10" s="217"/>
      <c r="G10" s="31">
        <v>3</v>
      </c>
      <c r="H10" s="101">
        <v>15933821</v>
      </c>
      <c r="I10" s="101">
        <v>19024548.34</v>
      </c>
    </row>
    <row r="11" spans="1:9" ht="22.15" customHeight="1" x14ac:dyDescent="0.2">
      <c r="A11" s="217" t="s">
        <v>172</v>
      </c>
      <c r="B11" s="217"/>
      <c r="C11" s="217"/>
      <c r="D11" s="217"/>
      <c r="E11" s="217"/>
      <c r="F11" s="217"/>
      <c r="G11" s="31">
        <v>4</v>
      </c>
      <c r="H11" s="101">
        <v>-381</v>
      </c>
      <c r="I11" s="101">
        <v>-1743791.79</v>
      </c>
    </row>
    <row r="12" spans="1:9" ht="23.45" customHeight="1" x14ac:dyDescent="0.2">
      <c r="A12" s="217" t="s">
        <v>173</v>
      </c>
      <c r="B12" s="217"/>
      <c r="C12" s="217"/>
      <c r="D12" s="217"/>
      <c r="E12" s="217"/>
      <c r="F12" s="217"/>
      <c r="G12" s="31">
        <v>5</v>
      </c>
      <c r="H12" s="101">
        <v>0</v>
      </c>
      <c r="I12" s="101">
        <v>0</v>
      </c>
    </row>
    <row r="13" spans="1:9" ht="12.75" customHeight="1" x14ac:dyDescent="0.2">
      <c r="A13" s="217" t="s">
        <v>174</v>
      </c>
      <c r="B13" s="217"/>
      <c r="C13" s="217"/>
      <c r="D13" s="217"/>
      <c r="E13" s="217"/>
      <c r="F13" s="217"/>
      <c r="G13" s="31">
        <v>6</v>
      </c>
      <c r="H13" s="101">
        <v>-410005</v>
      </c>
      <c r="I13" s="101">
        <v>-214012.23</v>
      </c>
    </row>
    <row r="14" spans="1:9" ht="12.75" customHeight="1" x14ac:dyDescent="0.2">
      <c r="A14" s="217" t="s">
        <v>175</v>
      </c>
      <c r="B14" s="217"/>
      <c r="C14" s="217"/>
      <c r="D14" s="217"/>
      <c r="E14" s="217"/>
      <c r="F14" s="217"/>
      <c r="G14" s="31">
        <v>7</v>
      </c>
      <c r="H14" s="101">
        <v>4572814</v>
      </c>
      <c r="I14" s="101">
        <v>6944182.7000000002</v>
      </c>
    </row>
    <row r="15" spans="1:9" ht="12.75" customHeight="1" x14ac:dyDescent="0.2">
      <c r="A15" s="217" t="s">
        <v>176</v>
      </c>
      <c r="B15" s="217"/>
      <c r="C15" s="217"/>
      <c r="D15" s="217"/>
      <c r="E15" s="217"/>
      <c r="F15" s="217"/>
      <c r="G15" s="31">
        <v>8</v>
      </c>
      <c r="H15" s="101">
        <v>0</v>
      </c>
      <c r="I15" s="101">
        <v>0</v>
      </c>
    </row>
    <row r="16" spans="1:9" ht="12.75" customHeight="1" x14ac:dyDescent="0.2">
      <c r="A16" s="217" t="s">
        <v>177</v>
      </c>
      <c r="B16" s="217"/>
      <c r="C16" s="217"/>
      <c r="D16" s="217"/>
      <c r="E16" s="217"/>
      <c r="F16" s="217"/>
      <c r="G16" s="31">
        <v>9</v>
      </c>
      <c r="H16" s="101">
        <v>-10022201</v>
      </c>
      <c r="I16" s="101">
        <v>6980461.6500000004</v>
      </c>
    </row>
    <row r="17" spans="1:9" ht="25.15" customHeight="1" x14ac:dyDescent="0.2">
      <c r="A17" s="217" t="s">
        <v>178</v>
      </c>
      <c r="B17" s="217"/>
      <c r="C17" s="217"/>
      <c r="D17" s="217"/>
      <c r="E17" s="217"/>
      <c r="F17" s="217"/>
      <c r="G17" s="31">
        <v>10</v>
      </c>
      <c r="H17" s="101">
        <v>-11602014</v>
      </c>
      <c r="I17" s="101">
        <v>-3935972.03</v>
      </c>
    </row>
    <row r="18" spans="1:9" ht="28.15" customHeight="1" x14ac:dyDescent="0.2">
      <c r="A18" s="239" t="s">
        <v>304</v>
      </c>
      <c r="B18" s="239"/>
      <c r="C18" s="239"/>
      <c r="D18" s="239"/>
      <c r="E18" s="239"/>
      <c r="F18" s="239"/>
      <c r="G18" s="32">
        <v>11</v>
      </c>
      <c r="H18" s="102">
        <f>H8+H9</f>
        <v>-19365348</v>
      </c>
      <c r="I18" s="102">
        <f>I8+I9</f>
        <v>-22608309.93</v>
      </c>
    </row>
    <row r="19" spans="1:9" ht="12.75" customHeight="1" x14ac:dyDescent="0.2">
      <c r="A19" s="240" t="s">
        <v>179</v>
      </c>
      <c r="B19" s="240"/>
      <c r="C19" s="240"/>
      <c r="D19" s="240"/>
      <c r="E19" s="240"/>
      <c r="F19" s="240"/>
      <c r="G19" s="32">
        <v>12</v>
      </c>
      <c r="H19" s="102">
        <f>H20+H21+H22+H23</f>
        <v>38557971</v>
      </c>
      <c r="I19" s="102">
        <f>I20+I21+I22+I23</f>
        <v>16747583.15</v>
      </c>
    </row>
    <row r="20" spans="1:9" ht="12.75" customHeight="1" x14ac:dyDescent="0.2">
      <c r="A20" s="217" t="s">
        <v>180</v>
      </c>
      <c r="B20" s="217"/>
      <c r="C20" s="217"/>
      <c r="D20" s="217"/>
      <c r="E20" s="217"/>
      <c r="F20" s="217"/>
      <c r="G20" s="31">
        <v>13</v>
      </c>
      <c r="H20" s="101">
        <v>41469942</v>
      </c>
      <c r="I20" s="101">
        <v>34082079.579999998</v>
      </c>
    </row>
    <row r="21" spans="1:9" ht="12.75" customHeight="1" x14ac:dyDescent="0.2">
      <c r="A21" s="217" t="s">
        <v>181</v>
      </c>
      <c r="B21" s="217"/>
      <c r="C21" s="217"/>
      <c r="D21" s="217"/>
      <c r="E21" s="217"/>
      <c r="F21" s="217"/>
      <c r="G21" s="31">
        <v>14</v>
      </c>
      <c r="H21" s="101">
        <v>-12099828</v>
      </c>
      <c r="I21" s="101">
        <v>-18677598.539999999</v>
      </c>
    </row>
    <row r="22" spans="1:9" ht="12.75" customHeight="1" x14ac:dyDescent="0.2">
      <c r="A22" s="217" t="s">
        <v>182</v>
      </c>
      <c r="B22" s="217"/>
      <c r="C22" s="217"/>
      <c r="D22" s="217"/>
      <c r="E22" s="217"/>
      <c r="F22" s="217"/>
      <c r="G22" s="31">
        <v>15</v>
      </c>
      <c r="H22" s="101">
        <v>-322087</v>
      </c>
      <c r="I22" s="101">
        <v>-937147.51</v>
      </c>
    </row>
    <row r="23" spans="1:9" ht="12.75" customHeight="1" x14ac:dyDescent="0.2">
      <c r="A23" s="217" t="s">
        <v>183</v>
      </c>
      <c r="B23" s="217"/>
      <c r="C23" s="217"/>
      <c r="D23" s="217"/>
      <c r="E23" s="217"/>
      <c r="F23" s="217"/>
      <c r="G23" s="31">
        <v>16</v>
      </c>
      <c r="H23" s="101">
        <v>9509944</v>
      </c>
      <c r="I23" s="101">
        <v>2280249.62</v>
      </c>
    </row>
    <row r="24" spans="1:9" ht="12.75" customHeight="1" x14ac:dyDescent="0.2">
      <c r="A24" s="239" t="s">
        <v>184</v>
      </c>
      <c r="B24" s="239"/>
      <c r="C24" s="239"/>
      <c r="D24" s="239"/>
      <c r="E24" s="239"/>
      <c r="F24" s="239"/>
      <c r="G24" s="32">
        <v>17</v>
      </c>
      <c r="H24" s="102">
        <f>H18+H19</f>
        <v>19192623</v>
      </c>
      <c r="I24" s="102">
        <f>I18+I19</f>
        <v>-5860726.7800000003</v>
      </c>
    </row>
    <row r="25" spans="1:9" ht="12.75" customHeight="1" x14ac:dyDescent="0.2">
      <c r="A25" s="182" t="s">
        <v>185</v>
      </c>
      <c r="B25" s="182"/>
      <c r="C25" s="182"/>
      <c r="D25" s="182"/>
      <c r="E25" s="182"/>
      <c r="F25" s="182"/>
      <c r="G25" s="31">
        <v>18</v>
      </c>
      <c r="H25" s="101">
        <v>-3795100</v>
      </c>
      <c r="I25" s="101">
        <v>-6571297.8099999996</v>
      </c>
    </row>
    <row r="26" spans="1:9" ht="12.75" customHeight="1" x14ac:dyDescent="0.2">
      <c r="A26" s="182" t="s">
        <v>186</v>
      </c>
      <c r="B26" s="182"/>
      <c r="C26" s="182"/>
      <c r="D26" s="182"/>
      <c r="E26" s="182"/>
      <c r="F26" s="182"/>
      <c r="G26" s="31">
        <v>19</v>
      </c>
      <c r="H26" s="101">
        <v>0</v>
      </c>
      <c r="I26" s="101">
        <v>0</v>
      </c>
    </row>
    <row r="27" spans="1:9" ht="25.9" customHeight="1" x14ac:dyDescent="0.2">
      <c r="A27" s="244" t="s">
        <v>187</v>
      </c>
      <c r="B27" s="244"/>
      <c r="C27" s="244"/>
      <c r="D27" s="244"/>
      <c r="E27" s="244"/>
      <c r="F27" s="244"/>
      <c r="G27" s="32">
        <v>20</v>
      </c>
      <c r="H27" s="102">
        <f>H24+H25+H26</f>
        <v>15397523</v>
      </c>
      <c r="I27" s="102">
        <f>I24+I25+I26</f>
        <v>-12432024.59</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33494</v>
      </c>
      <c r="I29" s="103">
        <v>13638538.800000001</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33494</v>
      </c>
      <c r="I35" s="104">
        <f>I29+I30+I31+I32+I33+I34</f>
        <v>13638538.800000001</v>
      </c>
    </row>
    <row r="36" spans="1:9" ht="22.9" customHeight="1" x14ac:dyDescent="0.2">
      <c r="A36" s="182" t="s">
        <v>196</v>
      </c>
      <c r="B36" s="182"/>
      <c r="C36" s="182"/>
      <c r="D36" s="182"/>
      <c r="E36" s="182"/>
      <c r="F36" s="182"/>
      <c r="G36" s="31">
        <v>28</v>
      </c>
      <c r="H36" s="103">
        <v>-11128225</v>
      </c>
      <c r="I36" s="103">
        <v>-3201944.43</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-7294318</v>
      </c>
      <c r="I40" s="103">
        <v>-9450725.5399999991</v>
      </c>
    </row>
    <row r="41" spans="1:9" ht="24" customHeight="1" x14ac:dyDescent="0.2">
      <c r="A41" s="239" t="s">
        <v>201</v>
      </c>
      <c r="B41" s="239"/>
      <c r="C41" s="239"/>
      <c r="D41" s="239"/>
      <c r="E41" s="239"/>
      <c r="F41" s="239"/>
      <c r="G41" s="32">
        <v>33</v>
      </c>
      <c r="H41" s="104">
        <f>H36+H37+H38+H39+H40</f>
        <v>-18422543</v>
      </c>
      <c r="I41" s="104">
        <f>I36+I37+I38+I39+I40</f>
        <v>-12652669.970000001</v>
      </c>
    </row>
    <row r="42" spans="1:9" ht="29.45" customHeight="1" x14ac:dyDescent="0.2">
      <c r="A42" s="244" t="s">
        <v>202</v>
      </c>
      <c r="B42" s="244"/>
      <c r="C42" s="244"/>
      <c r="D42" s="244"/>
      <c r="E42" s="244"/>
      <c r="F42" s="244"/>
      <c r="G42" s="32">
        <v>34</v>
      </c>
      <c r="H42" s="104">
        <f>H35+H41</f>
        <v>-18389049</v>
      </c>
      <c r="I42" s="104">
        <f>I35+I41</f>
        <v>985868.83</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35000000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0</v>
      </c>
      <c r="I46" s="103">
        <v>0</v>
      </c>
    </row>
    <row r="47" spans="1:9" ht="12.75" customHeight="1" x14ac:dyDescent="0.2">
      <c r="A47" s="182" t="s">
        <v>207</v>
      </c>
      <c r="B47" s="182"/>
      <c r="C47" s="182"/>
      <c r="D47" s="182"/>
      <c r="E47" s="182"/>
      <c r="F47" s="182"/>
      <c r="G47" s="31">
        <v>38</v>
      </c>
      <c r="H47" s="103">
        <v>0</v>
      </c>
      <c r="I47" s="103">
        <v>0</v>
      </c>
    </row>
    <row r="48" spans="1:9" ht="22.15" customHeight="1" x14ac:dyDescent="0.2">
      <c r="A48" s="239" t="s">
        <v>208</v>
      </c>
      <c r="B48" s="239"/>
      <c r="C48" s="239"/>
      <c r="D48" s="239"/>
      <c r="E48" s="239"/>
      <c r="F48" s="239"/>
      <c r="G48" s="32">
        <v>39</v>
      </c>
      <c r="H48" s="104">
        <f>H44+H45+H46+H47</f>
        <v>0</v>
      </c>
      <c r="I48" s="104">
        <f>I44+I45+I46+I47</f>
        <v>35000000</v>
      </c>
    </row>
    <row r="49" spans="1:9" ht="24.6" customHeight="1" x14ac:dyDescent="0.2">
      <c r="A49" s="182" t="s">
        <v>303</v>
      </c>
      <c r="B49" s="182"/>
      <c r="C49" s="182"/>
      <c r="D49" s="182"/>
      <c r="E49" s="182"/>
      <c r="F49" s="182"/>
      <c r="G49" s="31">
        <v>40</v>
      </c>
      <c r="H49" s="103">
        <v>-2010</v>
      </c>
      <c r="I49" s="103">
        <v>0</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-12561788</v>
      </c>
      <c r="I53" s="103">
        <v>-14117769.84</v>
      </c>
    </row>
    <row r="54" spans="1:9" ht="30.6" customHeight="1" x14ac:dyDescent="0.2">
      <c r="A54" s="239" t="s">
        <v>213</v>
      </c>
      <c r="B54" s="239"/>
      <c r="C54" s="239"/>
      <c r="D54" s="239"/>
      <c r="E54" s="239"/>
      <c r="F54" s="239"/>
      <c r="G54" s="32">
        <v>45</v>
      </c>
      <c r="H54" s="104">
        <f>H49+H50+H51+H52+H53</f>
        <v>-12563798</v>
      </c>
      <c r="I54" s="104">
        <f>I49+I50+I51+I52+I53</f>
        <v>-14117769.84</v>
      </c>
    </row>
    <row r="55" spans="1:9" ht="29.45" customHeight="1" x14ac:dyDescent="0.2">
      <c r="A55" s="244" t="s">
        <v>214</v>
      </c>
      <c r="B55" s="244"/>
      <c r="C55" s="244"/>
      <c r="D55" s="244"/>
      <c r="E55" s="244"/>
      <c r="F55" s="244"/>
      <c r="G55" s="32">
        <v>46</v>
      </c>
      <c r="H55" s="104">
        <f>H48+H54</f>
        <v>-12563798</v>
      </c>
      <c r="I55" s="104">
        <f>I48+I54</f>
        <v>20882230.16</v>
      </c>
    </row>
    <row r="56" spans="1:9" x14ac:dyDescent="0.2">
      <c r="A56" s="182" t="s">
        <v>215</v>
      </c>
      <c r="B56" s="182"/>
      <c r="C56" s="182"/>
      <c r="D56" s="182"/>
      <c r="E56" s="182"/>
      <c r="F56" s="182"/>
      <c r="G56" s="31">
        <v>47</v>
      </c>
      <c r="H56" s="103">
        <v>0</v>
      </c>
      <c r="I56" s="103">
        <v>0</v>
      </c>
    </row>
    <row r="57" spans="1:9" ht="26.45" customHeight="1" x14ac:dyDescent="0.2">
      <c r="A57" s="244" t="s">
        <v>216</v>
      </c>
      <c r="B57" s="244"/>
      <c r="C57" s="244"/>
      <c r="D57" s="244"/>
      <c r="E57" s="244"/>
      <c r="F57" s="244"/>
      <c r="G57" s="32">
        <v>48</v>
      </c>
      <c r="H57" s="104">
        <f>H27+H42+H55+H56</f>
        <v>-15555324</v>
      </c>
      <c r="I57" s="104">
        <f>I27+I42+I55+I56</f>
        <v>9436074.4000000004</v>
      </c>
    </row>
    <row r="58" spans="1:9" x14ac:dyDescent="0.2">
      <c r="A58" s="245" t="s">
        <v>217</v>
      </c>
      <c r="B58" s="245"/>
      <c r="C58" s="245"/>
      <c r="D58" s="245"/>
      <c r="E58" s="245"/>
      <c r="F58" s="245"/>
      <c r="G58" s="31">
        <v>49</v>
      </c>
      <c r="H58" s="103">
        <v>45638047</v>
      </c>
      <c r="I58" s="103">
        <v>12716845.5</v>
      </c>
    </row>
    <row r="59" spans="1:9" ht="31.15" customHeight="1" x14ac:dyDescent="0.2">
      <c r="A59" s="244" t="s">
        <v>218</v>
      </c>
      <c r="B59" s="244"/>
      <c r="C59" s="244"/>
      <c r="D59" s="244"/>
      <c r="E59" s="244"/>
      <c r="F59" s="244"/>
      <c r="G59" s="32">
        <v>50</v>
      </c>
      <c r="H59" s="104">
        <f>H57+H58</f>
        <v>30082723</v>
      </c>
      <c r="I59" s="104">
        <f>I57+I58</f>
        <v>22152919.899999999</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zoomScaleNormal="100" zoomScaleSheetLayoutView="80" workbookViewId="0">
      <selection activeCell="H52" sqref="H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326</v>
      </c>
      <c r="B2" s="188"/>
      <c r="C2" s="188"/>
      <c r="D2" s="188"/>
      <c r="E2" s="188"/>
      <c r="F2" s="188"/>
      <c r="G2" s="188"/>
      <c r="H2" s="188"/>
      <c r="I2" s="188"/>
    </row>
    <row r="3" spans="1:9" x14ac:dyDescent="0.2">
      <c r="A3" s="256" t="s">
        <v>442</v>
      </c>
      <c r="B3" s="257"/>
      <c r="C3" s="257"/>
      <c r="D3" s="257"/>
      <c r="E3" s="257"/>
      <c r="F3" s="257"/>
      <c r="G3" s="257"/>
      <c r="H3" s="257"/>
      <c r="I3" s="257"/>
    </row>
    <row r="4" spans="1:9" x14ac:dyDescent="0.2">
      <c r="A4" s="236" t="s">
        <v>327</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381</v>
      </c>
      <c r="B12" s="247"/>
      <c r="C12" s="247"/>
      <c r="D12" s="247"/>
      <c r="E12" s="247"/>
      <c r="F12" s="247"/>
      <c r="G12" s="11">
        <v>5</v>
      </c>
      <c r="H12" s="107">
        <v>0</v>
      </c>
      <c r="I12" s="107">
        <v>0</v>
      </c>
    </row>
    <row r="13" spans="1:9" x14ac:dyDescent="0.2">
      <c r="A13" s="255" t="s">
        <v>382</v>
      </c>
      <c r="B13" s="255"/>
      <c r="C13" s="255"/>
      <c r="D13" s="255"/>
      <c r="E13" s="255"/>
      <c r="F13" s="255"/>
      <c r="G13" s="25">
        <v>6</v>
      </c>
      <c r="H13" s="108">
        <f>SUM(H8:H12)</f>
        <v>0</v>
      </c>
      <c r="I13" s="108">
        <f>SUM(I8:I12)</f>
        <v>0</v>
      </c>
    </row>
    <row r="14" spans="1:9" ht="12.75" customHeight="1" x14ac:dyDescent="0.2">
      <c r="A14" s="247" t="s">
        <v>383</v>
      </c>
      <c r="B14" s="247"/>
      <c r="C14" s="247"/>
      <c r="D14" s="247"/>
      <c r="E14" s="247"/>
      <c r="F14" s="247"/>
      <c r="G14" s="11">
        <v>7</v>
      </c>
      <c r="H14" s="107">
        <v>0</v>
      </c>
      <c r="I14" s="107">
        <v>0</v>
      </c>
    </row>
    <row r="15" spans="1:9" ht="12.75" customHeight="1" x14ac:dyDescent="0.2">
      <c r="A15" s="247" t="s">
        <v>384</v>
      </c>
      <c r="B15" s="247"/>
      <c r="C15" s="247"/>
      <c r="D15" s="247"/>
      <c r="E15" s="247"/>
      <c r="F15" s="247"/>
      <c r="G15" s="11">
        <v>8</v>
      </c>
      <c r="H15" s="107">
        <v>0</v>
      </c>
      <c r="I15" s="107">
        <v>0</v>
      </c>
    </row>
    <row r="16" spans="1:9" ht="12.75" customHeight="1" x14ac:dyDescent="0.2">
      <c r="A16" s="247" t="s">
        <v>385</v>
      </c>
      <c r="B16" s="247"/>
      <c r="C16" s="247"/>
      <c r="D16" s="247"/>
      <c r="E16" s="247"/>
      <c r="F16" s="247"/>
      <c r="G16" s="11">
        <v>9</v>
      </c>
      <c r="H16" s="107">
        <v>0</v>
      </c>
      <c r="I16" s="107">
        <v>0</v>
      </c>
    </row>
    <row r="17" spans="1:9" ht="12.75" customHeight="1" x14ac:dyDescent="0.2">
      <c r="A17" s="247" t="s">
        <v>386</v>
      </c>
      <c r="B17" s="247"/>
      <c r="C17" s="247"/>
      <c r="D17" s="247"/>
      <c r="E17" s="247"/>
      <c r="F17" s="247"/>
      <c r="G17" s="11">
        <v>10</v>
      </c>
      <c r="H17" s="107">
        <v>0</v>
      </c>
      <c r="I17" s="107">
        <v>0</v>
      </c>
    </row>
    <row r="18" spans="1:9" ht="12.75" customHeight="1" x14ac:dyDescent="0.2">
      <c r="A18" s="247" t="s">
        <v>387</v>
      </c>
      <c r="B18" s="247"/>
      <c r="C18" s="247"/>
      <c r="D18" s="247"/>
      <c r="E18" s="247"/>
      <c r="F18" s="247"/>
      <c r="G18" s="11">
        <v>11</v>
      </c>
      <c r="H18" s="107">
        <v>0</v>
      </c>
      <c r="I18" s="107">
        <v>0</v>
      </c>
    </row>
    <row r="19" spans="1:9" ht="12.75" customHeight="1" x14ac:dyDescent="0.2">
      <c r="A19" s="247" t="s">
        <v>388</v>
      </c>
      <c r="B19" s="247"/>
      <c r="C19" s="247"/>
      <c r="D19" s="247"/>
      <c r="E19" s="247"/>
      <c r="F19" s="247"/>
      <c r="G19" s="11">
        <v>12</v>
      </c>
      <c r="H19" s="107">
        <v>0</v>
      </c>
      <c r="I19" s="107">
        <v>0</v>
      </c>
    </row>
    <row r="20" spans="1:9" ht="26.25" customHeight="1" x14ac:dyDescent="0.2">
      <c r="A20" s="255" t="s">
        <v>389</v>
      </c>
      <c r="B20" s="255"/>
      <c r="C20" s="255"/>
      <c r="D20" s="255"/>
      <c r="E20" s="255"/>
      <c r="F20" s="255"/>
      <c r="G20" s="25">
        <v>13</v>
      </c>
      <c r="H20" s="108">
        <f>SUM(H14:H19)</f>
        <v>0</v>
      </c>
      <c r="I20" s="108">
        <f>SUM(I14:I19)</f>
        <v>0</v>
      </c>
    </row>
    <row r="21" spans="1:9" ht="27.6" customHeight="1" x14ac:dyDescent="0.2">
      <c r="A21" s="253" t="s">
        <v>390</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391</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392</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393</v>
      </c>
      <c r="B35" s="248"/>
      <c r="C35" s="248"/>
      <c r="D35" s="248"/>
      <c r="E35" s="248"/>
      <c r="F35" s="248"/>
      <c r="G35" s="25">
        <v>27</v>
      </c>
      <c r="H35" s="110">
        <f>SUM(H30:H34)</f>
        <v>0</v>
      </c>
      <c r="I35" s="110">
        <f>SUM(I30:I34)</f>
        <v>0</v>
      </c>
    </row>
    <row r="36" spans="1:9" ht="28.15" customHeight="1" x14ac:dyDescent="0.2">
      <c r="A36" s="253" t="s">
        <v>394</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395</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396</v>
      </c>
      <c r="B48" s="248"/>
      <c r="C48" s="248"/>
      <c r="D48" s="248"/>
      <c r="E48" s="248"/>
      <c r="F48" s="248"/>
      <c r="G48" s="25">
        <v>39</v>
      </c>
      <c r="H48" s="110">
        <f>H47+H46+H45+H44+H43</f>
        <v>0</v>
      </c>
      <c r="I48" s="110">
        <f>I47+I46+I45+I44+I43</f>
        <v>0</v>
      </c>
    </row>
    <row r="49" spans="1:9" ht="25.9" customHeight="1" x14ac:dyDescent="0.2">
      <c r="A49" s="259" t="s">
        <v>428</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397</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398</v>
      </c>
      <c r="B53" s="258"/>
      <c r="C53" s="258"/>
      <c r="D53" s="258"/>
      <c r="E53" s="258"/>
      <c r="F53" s="258"/>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opLeftCell="G17" zoomScaleNormal="100" zoomScaleSheetLayoutView="80" workbookViewId="0">
      <selection activeCell="V28" sqref="V2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46203</v>
      </c>
      <c r="H2" s="15"/>
      <c r="I2" s="15"/>
      <c r="J2" s="15"/>
      <c r="K2" s="14"/>
      <c r="Y2" s="16" t="s">
        <v>443</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92387953</v>
      </c>
      <c r="I7" s="120">
        <v>0</v>
      </c>
      <c r="J7" s="120">
        <v>0</v>
      </c>
      <c r="K7" s="120">
        <v>0</v>
      </c>
      <c r="L7" s="120">
        <v>0</v>
      </c>
      <c r="M7" s="120">
        <v>0</v>
      </c>
      <c r="N7" s="120">
        <v>545705</v>
      </c>
      <c r="O7" s="120">
        <v>7016033</v>
      </c>
      <c r="P7" s="120">
        <v>0</v>
      </c>
      <c r="Q7" s="120">
        <v>0</v>
      </c>
      <c r="R7" s="120">
        <v>0</v>
      </c>
      <c r="S7" s="120">
        <v>0</v>
      </c>
      <c r="T7" s="120">
        <v>0</v>
      </c>
      <c r="U7" s="120">
        <v>0</v>
      </c>
      <c r="V7" s="120">
        <v>-78239208</v>
      </c>
      <c r="W7" s="120">
        <v>-19394690</v>
      </c>
      <c r="X7" s="122">
        <f>H7+I7+J7+K7-L7+M7+N7+O7+P7+Q7+R7+V7+W7+S7+T7+U7</f>
        <v>2315793</v>
      </c>
      <c r="Y7" s="120">
        <v>0</v>
      </c>
      <c r="Z7" s="122">
        <f>X7+Y7</f>
        <v>2315793</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297</v>
      </c>
      <c r="B10" s="265"/>
      <c r="C10" s="265"/>
      <c r="D10" s="265"/>
      <c r="E10" s="265"/>
      <c r="F10" s="265"/>
      <c r="G10" s="118">
        <v>4</v>
      </c>
      <c r="H10" s="122">
        <f>H7+H8+H9</f>
        <v>92387953</v>
      </c>
      <c r="I10" s="122">
        <f t="shared" ref="I10:Z10" si="2">I7+I8+I9</f>
        <v>0</v>
      </c>
      <c r="J10" s="122">
        <f t="shared" si="2"/>
        <v>0</v>
      </c>
      <c r="K10" s="122">
        <f>K7+K8+K9</f>
        <v>0</v>
      </c>
      <c r="L10" s="122">
        <f t="shared" si="2"/>
        <v>0</v>
      </c>
      <c r="M10" s="122">
        <f t="shared" si="2"/>
        <v>0</v>
      </c>
      <c r="N10" s="122">
        <f t="shared" si="2"/>
        <v>545705</v>
      </c>
      <c r="O10" s="122">
        <f t="shared" si="2"/>
        <v>7016033</v>
      </c>
      <c r="P10" s="122">
        <f t="shared" si="2"/>
        <v>0</v>
      </c>
      <c r="Q10" s="122">
        <f t="shared" si="2"/>
        <v>0</v>
      </c>
      <c r="R10" s="122">
        <f t="shared" si="2"/>
        <v>0</v>
      </c>
      <c r="S10" s="122">
        <f t="shared" si="2"/>
        <v>0</v>
      </c>
      <c r="T10" s="122">
        <f>T7+T8+T9</f>
        <v>0</v>
      </c>
      <c r="U10" s="122">
        <f>U7+U8+U9</f>
        <v>0</v>
      </c>
      <c r="V10" s="122">
        <f>V7+V8+V9</f>
        <v>-78239208</v>
      </c>
      <c r="W10" s="122">
        <f>W7+W8+W9</f>
        <v>-19394690</v>
      </c>
      <c r="X10" s="122">
        <f>X7+X8+X9</f>
        <v>2315793</v>
      </c>
      <c r="Y10" s="122">
        <f t="shared" si="2"/>
        <v>0</v>
      </c>
      <c r="Z10" s="122">
        <f t="shared" si="2"/>
        <v>2315793</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-17837382</v>
      </c>
      <c r="X11" s="122">
        <f>H11+I11+J11+K11-L11+M11+N11+O11+P11+Q11+R11+V11+W11+S11+T11+U11</f>
        <v>-17837382</v>
      </c>
      <c r="Y11" s="120">
        <v>0</v>
      </c>
      <c r="Z11" s="122">
        <f t="shared" ref="Z11:Z29" si="3">X11+Y11</f>
        <v>-17837382</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638254</v>
      </c>
      <c r="P13" s="119">
        <v>0</v>
      </c>
      <c r="Q13" s="119">
        <v>0</v>
      </c>
      <c r="R13" s="119">
        <v>0</v>
      </c>
      <c r="S13" s="119">
        <v>0</v>
      </c>
      <c r="T13" s="119">
        <v>0</v>
      </c>
      <c r="U13" s="120">
        <v>0</v>
      </c>
      <c r="V13" s="120">
        <v>0</v>
      </c>
      <c r="W13" s="120">
        <v>0</v>
      </c>
      <c r="X13" s="122">
        <f t="shared" si="4"/>
        <v>638254</v>
      </c>
      <c r="Y13" s="120">
        <v>0</v>
      </c>
      <c r="Z13" s="122">
        <f t="shared" si="3"/>
        <v>638254</v>
      </c>
    </row>
    <row r="14" spans="1:26" ht="39" customHeight="1" x14ac:dyDescent="0.2">
      <c r="A14" s="264" t="s">
        <v>402</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403</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404</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405</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406</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414</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4" t="s">
        <v>407</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4" t="s">
        <v>408</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-19394543</v>
      </c>
      <c r="W28" s="120">
        <v>19394690</v>
      </c>
      <c r="X28" s="122">
        <f t="shared" si="4"/>
        <v>147</v>
      </c>
      <c r="Y28" s="120">
        <v>0</v>
      </c>
      <c r="Z28" s="122">
        <f t="shared" si="3"/>
        <v>147</v>
      </c>
    </row>
    <row r="29" spans="1:26" ht="12.75" customHeight="1" x14ac:dyDescent="0.2">
      <c r="A29" s="264" t="s">
        <v>409</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410</v>
      </c>
      <c r="B30" s="265"/>
      <c r="C30" s="265"/>
      <c r="D30" s="265"/>
      <c r="E30" s="265"/>
      <c r="F30" s="265"/>
      <c r="G30" s="118">
        <v>24</v>
      </c>
      <c r="H30" s="122">
        <f>SUM(H10:H29)</f>
        <v>92387953</v>
      </c>
      <c r="I30" s="122">
        <f t="shared" ref="I30:Z30" si="5">SUM(I10:I29)</f>
        <v>0</v>
      </c>
      <c r="J30" s="122">
        <f t="shared" si="5"/>
        <v>0</v>
      </c>
      <c r="K30" s="122">
        <f t="shared" si="5"/>
        <v>0</v>
      </c>
      <c r="L30" s="122">
        <f t="shared" si="5"/>
        <v>0</v>
      </c>
      <c r="M30" s="122">
        <f t="shared" si="5"/>
        <v>0</v>
      </c>
      <c r="N30" s="122">
        <f t="shared" si="5"/>
        <v>545705</v>
      </c>
      <c r="O30" s="122">
        <f t="shared" si="5"/>
        <v>7654287</v>
      </c>
      <c r="P30" s="122">
        <f t="shared" si="5"/>
        <v>0</v>
      </c>
      <c r="Q30" s="122">
        <f t="shared" si="5"/>
        <v>0</v>
      </c>
      <c r="R30" s="122">
        <f t="shared" si="5"/>
        <v>0</v>
      </c>
      <c r="S30" s="122">
        <f t="shared" si="5"/>
        <v>0</v>
      </c>
      <c r="T30" s="122">
        <f t="shared" si="5"/>
        <v>0</v>
      </c>
      <c r="U30" s="122">
        <f t="shared" si="5"/>
        <v>0</v>
      </c>
      <c r="V30" s="122">
        <f t="shared" si="5"/>
        <v>-97633751</v>
      </c>
      <c r="W30" s="122">
        <f t="shared" si="5"/>
        <v>-17837382</v>
      </c>
      <c r="X30" s="122">
        <f>SUM(X10:X29)</f>
        <v>-14883188</v>
      </c>
      <c r="Y30" s="122">
        <f t="shared" si="5"/>
        <v>0</v>
      </c>
      <c r="Z30" s="122">
        <f t="shared" si="5"/>
        <v>-14883188</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638254</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638254</v>
      </c>
      <c r="Y32" s="122">
        <f t="shared" si="6"/>
        <v>0</v>
      </c>
      <c r="Z32" s="122">
        <f t="shared" si="6"/>
        <v>638254</v>
      </c>
    </row>
    <row r="33" spans="1:26" ht="31.5" customHeight="1" x14ac:dyDescent="0.2">
      <c r="A33" s="276" t="s">
        <v>411</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638254</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-17837382</v>
      </c>
      <c r="X33" s="122">
        <f>X11+X32</f>
        <v>-17199128</v>
      </c>
      <c r="Y33" s="122">
        <f t="shared" si="9"/>
        <v>0</v>
      </c>
      <c r="Z33" s="122">
        <f t="shared" si="9"/>
        <v>-17199128</v>
      </c>
    </row>
    <row r="34" spans="1:26" ht="30.75" customHeight="1" x14ac:dyDescent="0.2">
      <c r="A34" s="276" t="s">
        <v>412</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-19394543</v>
      </c>
      <c r="W34" s="122">
        <f t="shared" si="12"/>
        <v>19394690</v>
      </c>
      <c r="X34" s="122">
        <f>SUM(X21:X29)</f>
        <v>147</v>
      </c>
      <c r="Y34" s="122">
        <f t="shared" si="12"/>
        <v>0</v>
      </c>
      <c r="Z34" s="122">
        <f t="shared" si="12"/>
        <v>147</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92387953</v>
      </c>
      <c r="I36" s="120">
        <v>43000000</v>
      </c>
      <c r="J36" s="120">
        <v>0</v>
      </c>
      <c r="K36" s="120">
        <v>0</v>
      </c>
      <c r="L36" s="120">
        <v>0</v>
      </c>
      <c r="M36" s="120">
        <v>0</v>
      </c>
      <c r="N36" s="120">
        <v>545705.79</v>
      </c>
      <c r="O36" s="120">
        <v>7075550.5499999998</v>
      </c>
      <c r="P36" s="120">
        <v>0</v>
      </c>
      <c r="Q36" s="120">
        <v>0</v>
      </c>
      <c r="R36" s="120">
        <v>0</v>
      </c>
      <c r="S36" s="120">
        <v>0</v>
      </c>
      <c r="T36" s="120">
        <v>0</v>
      </c>
      <c r="U36" s="120">
        <v>0</v>
      </c>
      <c r="V36" s="120">
        <v>-97055017.069999993</v>
      </c>
      <c r="W36" s="120">
        <v>-38442380.340000004</v>
      </c>
      <c r="X36" s="121">
        <f>H36+I36+J36+K36-L36+M36+N36+O36+P36+Q36+R36+V36+W36+S36+T36+U36</f>
        <v>7511811.9299999997</v>
      </c>
      <c r="Y36" s="120">
        <v>0</v>
      </c>
      <c r="Z36" s="121">
        <f t="shared" ref="Z36:Z38" si="15">X36+Y36</f>
        <v>7511811.9299999997</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413</v>
      </c>
      <c r="B39" s="265"/>
      <c r="C39" s="265"/>
      <c r="D39" s="265"/>
      <c r="E39" s="265"/>
      <c r="F39" s="265"/>
      <c r="G39" s="118">
        <v>31</v>
      </c>
      <c r="H39" s="122">
        <f>H36+H37+H38</f>
        <v>92387953</v>
      </c>
      <c r="I39" s="122">
        <f t="shared" ref="I39:Z39" si="17">I36+I37+I38</f>
        <v>43000000</v>
      </c>
      <c r="J39" s="122">
        <f t="shared" si="17"/>
        <v>0</v>
      </c>
      <c r="K39" s="122">
        <f t="shared" si="17"/>
        <v>0</v>
      </c>
      <c r="L39" s="122">
        <f t="shared" si="17"/>
        <v>0</v>
      </c>
      <c r="M39" s="122">
        <f t="shared" si="17"/>
        <v>0</v>
      </c>
      <c r="N39" s="122">
        <f t="shared" si="17"/>
        <v>545705.79</v>
      </c>
      <c r="O39" s="122">
        <f t="shared" si="17"/>
        <v>7075550.5499999998</v>
      </c>
      <c r="P39" s="122">
        <f t="shared" si="17"/>
        <v>0</v>
      </c>
      <c r="Q39" s="122">
        <f t="shared" si="17"/>
        <v>0</v>
      </c>
      <c r="R39" s="122">
        <f t="shared" si="17"/>
        <v>0</v>
      </c>
      <c r="S39" s="122">
        <f t="shared" si="17"/>
        <v>0</v>
      </c>
      <c r="T39" s="122">
        <f t="shared" si="17"/>
        <v>0</v>
      </c>
      <c r="U39" s="122">
        <f t="shared" si="17"/>
        <v>0</v>
      </c>
      <c r="V39" s="122">
        <f t="shared" si="17"/>
        <v>-97055017.069999993</v>
      </c>
      <c r="W39" s="122">
        <f t="shared" si="17"/>
        <v>-38442380.340000004</v>
      </c>
      <c r="X39" s="122">
        <f>X36+X37+X38</f>
        <v>7511811.9299999997</v>
      </c>
      <c r="Y39" s="122">
        <f t="shared" si="17"/>
        <v>0</v>
      </c>
      <c r="Z39" s="122">
        <f t="shared" si="17"/>
        <v>7511811.9299999997</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RDG!J66</f>
        <v>-49663726.57</v>
      </c>
      <c r="X40" s="121">
        <f>H40+I40+J40+K40-L40+M40+N40+O40+P40+Q40+R40+V40+W40+S40+T40+U40</f>
        <v>-49663726.57</v>
      </c>
      <c r="Y40" s="120">
        <v>0</v>
      </c>
      <c r="Z40" s="121">
        <f t="shared" ref="Z40:Z58" si="18">X40+Y40</f>
        <v>-49663726.57</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-6197791.1699999999</v>
      </c>
      <c r="P42" s="119">
        <v>0</v>
      </c>
      <c r="Q42" s="119">
        <v>0</v>
      </c>
      <c r="R42" s="119">
        <v>0</v>
      </c>
      <c r="S42" s="119">
        <v>0</v>
      </c>
      <c r="T42" s="119">
        <v>0</v>
      </c>
      <c r="U42" s="120">
        <v>0</v>
      </c>
      <c r="V42" s="120">
        <v>0</v>
      </c>
      <c r="W42" s="120">
        <v>0</v>
      </c>
      <c r="X42" s="121">
        <f t="shared" si="19"/>
        <v>-6197791.1699999999</v>
      </c>
      <c r="Y42" s="120">
        <v>0</v>
      </c>
      <c r="Z42" s="121">
        <f t="shared" si="18"/>
        <v>-6197791.1699999999</v>
      </c>
    </row>
    <row r="43" spans="1:26" ht="20.25" customHeight="1" x14ac:dyDescent="0.2">
      <c r="A43" s="264" t="s">
        <v>402</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273</v>
      </c>
      <c r="B48" s="264"/>
      <c r="C48" s="264"/>
      <c r="D48" s="264"/>
      <c r="E48" s="264"/>
      <c r="F48" s="264"/>
      <c r="G48" s="117">
        <v>40</v>
      </c>
      <c r="H48" s="120">
        <v>0</v>
      </c>
      <c r="I48" s="120">
        <v>0.37</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0.37</v>
      </c>
      <c r="Y48" s="120">
        <v>0</v>
      </c>
      <c r="Z48" s="121">
        <f t="shared" si="18"/>
        <v>0.37</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403</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404</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405</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406</v>
      </c>
      <c r="B54" s="264"/>
      <c r="C54" s="264"/>
      <c r="D54" s="264"/>
      <c r="E54" s="264"/>
      <c r="F54" s="264"/>
      <c r="G54" s="117">
        <v>46</v>
      </c>
      <c r="H54" s="120">
        <v>35000000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35000000</v>
      </c>
      <c r="Y54" s="120">
        <v>0</v>
      </c>
      <c r="Z54" s="121">
        <f t="shared" si="18"/>
        <v>35000000</v>
      </c>
    </row>
    <row r="55" spans="1:26" ht="12.75" customHeight="1" x14ac:dyDescent="0.2">
      <c r="A55" s="264" t="s">
        <v>414</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407</v>
      </c>
      <c r="B56" s="264"/>
      <c r="C56" s="264"/>
      <c r="D56" s="264"/>
      <c r="E56" s="264"/>
      <c r="F56" s="264"/>
      <c r="G56" s="117">
        <v>48</v>
      </c>
      <c r="H56" s="120">
        <f>43000000+42878556</f>
        <v>85878556</v>
      </c>
      <c r="I56" s="120">
        <f>-43000000</f>
        <v>-43000000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42878556</v>
      </c>
      <c r="Y56" s="120">
        <v>0</v>
      </c>
      <c r="Z56" s="121">
        <f t="shared" si="18"/>
        <v>42878556</v>
      </c>
    </row>
    <row r="57" spans="1:26" ht="12.75" customHeight="1" x14ac:dyDescent="0.2">
      <c r="A57" s="264" t="s">
        <v>415</v>
      </c>
      <c r="B57" s="264"/>
      <c r="C57" s="264"/>
      <c r="D57" s="264"/>
      <c r="E57" s="264"/>
      <c r="F57" s="264"/>
      <c r="G57" s="117">
        <v>49</v>
      </c>
      <c r="H57" s="120">
        <v>0</v>
      </c>
      <c r="I57" s="120">
        <v>0</v>
      </c>
      <c r="J57" s="120">
        <v>0</v>
      </c>
      <c r="K57" s="120">
        <v>0</v>
      </c>
      <c r="L57" s="120">
        <v>0</v>
      </c>
      <c r="M57" s="120">
        <v>0</v>
      </c>
      <c r="N57" s="120">
        <v>43970.41</v>
      </c>
      <c r="O57" s="120">
        <v>0</v>
      </c>
      <c r="P57" s="120">
        <v>0</v>
      </c>
      <c r="Q57" s="120">
        <v>0</v>
      </c>
      <c r="R57" s="120">
        <v>0</v>
      </c>
      <c r="S57" s="120">
        <v>0</v>
      </c>
      <c r="T57" s="120">
        <v>0</v>
      </c>
      <c r="U57" s="120">
        <v>0</v>
      </c>
      <c r="V57" s="120">
        <f>W36+6197791.17-192611.69</f>
        <v>-32437200.859999999</v>
      </c>
      <c r="W57" s="120">
        <f>W39*-1</f>
        <v>38442380.340000004</v>
      </c>
      <c r="X57" s="121">
        <f t="shared" si="19"/>
        <v>6049149.8899999997</v>
      </c>
      <c r="Y57" s="120">
        <v>0</v>
      </c>
      <c r="Z57" s="121">
        <f t="shared" si="18"/>
        <v>6049149.8899999997</v>
      </c>
    </row>
    <row r="58" spans="1:26" ht="12.75" customHeight="1" x14ac:dyDescent="0.2">
      <c r="A58" s="264" t="s">
        <v>409</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416</v>
      </c>
      <c r="B59" s="265"/>
      <c r="C59" s="265"/>
      <c r="D59" s="265"/>
      <c r="E59" s="265"/>
      <c r="F59" s="265"/>
      <c r="G59" s="118">
        <v>51</v>
      </c>
      <c r="H59" s="122">
        <f>SUM(H39:H58)</f>
        <v>213266509</v>
      </c>
      <c r="I59" s="122">
        <f t="shared" ref="I59:Z59" si="20">SUM(I39:I58)</f>
        <v>0.37</v>
      </c>
      <c r="J59" s="122">
        <f t="shared" si="20"/>
        <v>0</v>
      </c>
      <c r="K59" s="122">
        <f t="shared" si="20"/>
        <v>0</v>
      </c>
      <c r="L59" s="122">
        <f t="shared" si="20"/>
        <v>0</v>
      </c>
      <c r="M59" s="122">
        <f t="shared" si="20"/>
        <v>0</v>
      </c>
      <c r="N59" s="122">
        <f t="shared" si="20"/>
        <v>589676.19999999995</v>
      </c>
      <c r="O59" s="122">
        <f t="shared" si="20"/>
        <v>877759.38</v>
      </c>
      <c r="P59" s="122">
        <f t="shared" si="20"/>
        <v>0</v>
      </c>
      <c r="Q59" s="122">
        <f t="shared" si="20"/>
        <v>0</v>
      </c>
      <c r="R59" s="122">
        <f t="shared" si="20"/>
        <v>0</v>
      </c>
      <c r="S59" s="122">
        <f t="shared" si="20"/>
        <v>0</v>
      </c>
      <c r="T59" s="122">
        <f t="shared" si="20"/>
        <v>0</v>
      </c>
      <c r="U59" s="122">
        <f t="shared" si="20"/>
        <v>0</v>
      </c>
      <c r="V59" s="122">
        <f t="shared" si="20"/>
        <v>-129492217.93000001</v>
      </c>
      <c r="W59" s="122">
        <f t="shared" si="20"/>
        <v>-49663726.57</v>
      </c>
      <c r="X59" s="122">
        <f>SUM(X39:X58)</f>
        <v>35578000.450000003</v>
      </c>
      <c r="Y59" s="122">
        <f t="shared" si="20"/>
        <v>0</v>
      </c>
      <c r="Z59" s="122">
        <f t="shared" si="20"/>
        <v>35578000.450000003</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417</v>
      </c>
      <c r="B61" s="276"/>
      <c r="C61" s="276"/>
      <c r="D61" s="276"/>
      <c r="E61" s="276"/>
      <c r="F61" s="276"/>
      <c r="G61" s="118">
        <v>52</v>
      </c>
      <c r="H61" s="121">
        <f>SUM(H41:H49)</f>
        <v>0</v>
      </c>
      <c r="I61" s="121">
        <f t="shared" ref="I61:Z61" si="21">SUM(I41:I49)</f>
        <v>0.37</v>
      </c>
      <c r="J61" s="121">
        <f t="shared" si="21"/>
        <v>0</v>
      </c>
      <c r="K61" s="121">
        <f t="shared" si="21"/>
        <v>0</v>
      </c>
      <c r="L61" s="121">
        <f t="shared" si="21"/>
        <v>0</v>
      </c>
      <c r="M61" s="121">
        <f t="shared" si="21"/>
        <v>0</v>
      </c>
      <c r="N61" s="121">
        <f t="shared" si="21"/>
        <v>0</v>
      </c>
      <c r="O61" s="121">
        <f t="shared" si="21"/>
        <v>-6197791.1699999999</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-6197790.7999999998</v>
      </c>
      <c r="Y61" s="121">
        <f t="shared" si="21"/>
        <v>0</v>
      </c>
      <c r="Z61" s="121">
        <f t="shared" si="21"/>
        <v>-6197790.7999999998</v>
      </c>
    </row>
    <row r="62" spans="1:26" ht="27.75" customHeight="1" x14ac:dyDescent="0.2">
      <c r="A62" s="276" t="s">
        <v>418</v>
      </c>
      <c r="B62" s="276"/>
      <c r="C62" s="276"/>
      <c r="D62" s="276"/>
      <c r="E62" s="276"/>
      <c r="F62" s="276"/>
      <c r="G62" s="118">
        <v>53</v>
      </c>
      <c r="H62" s="121">
        <f>H40+H61</f>
        <v>0</v>
      </c>
      <c r="I62" s="121">
        <f t="shared" ref="I62:Z62" si="24">I40+I61</f>
        <v>0.37</v>
      </c>
      <c r="J62" s="121">
        <f t="shared" si="24"/>
        <v>0</v>
      </c>
      <c r="K62" s="121">
        <f t="shared" si="24"/>
        <v>0</v>
      </c>
      <c r="L62" s="121">
        <f t="shared" si="24"/>
        <v>0</v>
      </c>
      <c r="M62" s="121">
        <f t="shared" si="24"/>
        <v>0</v>
      </c>
      <c r="N62" s="121">
        <f t="shared" si="24"/>
        <v>0</v>
      </c>
      <c r="O62" s="121">
        <f t="shared" si="24"/>
        <v>-6197791.1699999999</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-49663726.57</v>
      </c>
      <c r="X62" s="121">
        <f>X40+X61</f>
        <v>-55861517.369999997</v>
      </c>
      <c r="Y62" s="121">
        <f t="shared" si="24"/>
        <v>0</v>
      </c>
      <c r="Z62" s="121">
        <f t="shared" si="24"/>
        <v>-55861517.369999997</v>
      </c>
    </row>
    <row r="63" spans="1:26" ht="29.25" customHeight="1" x14ac:dyDescent="0.2">
      <c r="A63" s="276" t="s">
        <v>419</v>
      </c>
      <c r="B63" s="276"/>
      <c r="C63" s="276"/>
      <c r="D63" s="276"/>
      <c r="E63" s="276"/>
      <c r="F63" s="276"/>
      <c r="G63" s="118">
        <v>54</v>
      </c>
      <c r="H63" s="121">
        <f>SUM(H50:H58)</f>
        <v>120878556</v>
      </c>
      <c r="I63" s="121">
        <f t="shared" ref="I63:Z63" si="27">SUM(I50:I58)</f>
        <v>-43000000</v>
      </c>
      <c r="J63" s="121">
        <f t="shared" si="27"/>
        <v>0</v>
      </c>
      <c r="K63" s="121">
        <f t="shared" si="27"/>
        <v>0</v>
      </c>
      <c r="L63" s="121">
        <f t="shared" si="27"/>
        <v>0</v>
      </c>
      <c r="M63" s="121">
        <f t="shared" si="27"/>
        <v>0</v>
      </c>
      <c r="N63" s="121">
        <f t="shared" si="27"/>
        <v>43970.41</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-32437200.859999999</v>
      </c>
      <c r="W63" s="121">
        <f t="shared" si="27"/>
        <v>38442380.340000004</v>
      </c>
      <c r="X63" s="121">
        <f>SUM(X50:X58)</f>
        <v>83927705.890000001</v>
      </c>
      <c r="Y63" s="121">
        <f t="shared" si="27"/>
        <v>0</v>
      </c>
      <c r="Z63" s="121">
        <f t="shared" si="27"/>
        <v>83927705.890000001</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topLeftCell="A4" zoomScale="66" zoomScaleNormal="66" workbookViewId="0">
      <selection sqref="A1:I40"/>
    </sheetView>
  </sheetViews>
  <sheetFormatPr defaultRowHeight="12.75" x14ac:dyDescent="0.2"/>
  <cols>
    <col min="9" max="9" width="10.140625" customWidth="1"/>
  </cols>
  <sheetData>
    <row r="1" spans="1:9" x14ac:dyDescent="0.2">
      <c r="A1" s="277" t="s">
        <v>476</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Janušić Dijana</cp:lastModifiedBy>
  <cp:lastPrinted>2026-07-31T08:08:41Z</cp:lastPrinted>
  <dcterms:created xsi:type="dcterms:W3CDTF">2008-10-17T11:51:54Z</dcterms:created>
  <dcterms:modified xsi:type="dcterms:W3CDTF">2026-07-31T09:36:45Z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