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Y:\JAVNA OBJAVA\2026 JAVNA OBJAVA ZTK\1. kvartal 2026\1-3 CTN\"/>
    </mc:Choice>
  </mc:AlternateContent>
  <xr:revisionPtr revIDLastSave="0" documentId="13_ncr:1_{20FBD273-F9B5-46CD-ADDE-ADDE63FDBB06}"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I56" i="22"/>
  <c r="I77" i="18"/>
  <c r="V57" i="22"/>
  <c r="W57" i="22"/>
  <c r="X57" i="22" s="1"/>
  <c r="W40" i="22"/>
  <c r="X40" i="22" s="1"/>
  <c r="X56" i="22"/>
  <c r="W36" i="22"/>
  <c r="V36" i="22"/>
  <c r="K100" i="26"/>
  <c r="K101" i="26"/>
  <c r="K102" i="26"/>
  <c r="K103" i="26"/>
  <c r="K104" i="26"/>
  <c r="K105" i="26"/>
  <c r="K106" i="26"/>
  <c r="K107" i="26"/>
  <c r="K108" i="26"/>
  <c r="K99" i="26"/>
  <c r="K98" i="26" s="1"/>
  <c r="K93" i="26"/>
  <c r="K94" i="26"/>
  <c r="K95" i="26"/>
  <c r="K96" i="26"/>
  <c r="K97" i="26"/>
  <c r="K92" i="26"/>
  <c r="K89" i="26"/>
  <c r="K87" i="26"/>
  <c r="K86" i="26"/>
  <c r="K79" i="26"/>
  <c r="K78" i="26"/>
  <c r="K72" i="26"/>
  <c r="K73" i="26"/>
  <c r="K71" i="26"/>
  <c r="K50" i="26"/>
  <c r="K51" i="26"/>
  <c r="K52" i="26"/>
  <c r="K53" i="26"/>
  <c r="K54" i="26"/>
  <c r="K55" i="26"/>
  <c r="K56" i="26"/>
  <c r="K57" i="26"/>
  <c r="K58" i="26"/>
  <c r="K59" i="26"/>
  <c r="K49" i="26"/>
  <c r="K47" i="26"/>
  <c r="K39" i="26"/>
  <c r="K40" i="26"/>
  <c r="K41" i="26"/>
  <c r="K42" i="26"/>
  <c r="K43" i="26"/>
  <c r="K44" i="26"/>
  <c r="K45" i="26"/>
  <c r="K46" i="26"/>
  <c r="K38" i="26"/>
  <c r="K31" i="26"/>
  <c r="K32" i="26"/>
  <c r="K33" i="26"/>
  <c r="K34" i="26"/>
  <c r="K35" i="26"/>
  <c r="K36" i="26"/>
  <c r="K30" i="26"/>
  <c r="K28" i="26"/>
  <c r="K27" i="26"/>
  <c r="K22" i="26"/>
  <c r="K23" i="26"/>
  <c r="K24" i="26"/>
  <c r="K25" i="26"/>
  <c r="K21" i="26"/>
  <c r="K18" i="26"/>
  <c r="K19" i="26"/>
  <c r="K17" i="26"/>
  <c r="K15" i="26"/>
  <c r="K10" i="26"/>
  <c r="K11" i="26"/>
  <c r="K12" i="26"/>
  <c r="K13" i="26"/>
  <c r="K9" i="26"/>
  <c r="I97" i="18"/>
  <c r="I94" i="18"/>
  <c r="I92" i="18"/>
  <c r="I132" i="18"/>
  <c r="I21" i="18"/>
  <c r="H19" i="18"/>
  <c r="I19" i="18"/>
  <c r="I114" i="26"/>
  <c r="I113" i="26"/>
  <c r="I100" i="26"/>
  <c r="I101" i="26"/>
  <c r="I102" i="26"/>
  <c r="I103" i="26"/>
  <c r="I104" i="26"/>
  <c r="I105" i="26"/>
  <c r="I106" i="26"/>
  <c r="I107" i="26"/>
  <c r="I108" i="26"/>
  <c r="I99" i="26"/>
  <c r="I93" i="26"/>
  <c r="I94" i="26"/>
  <c r="I95" i="26"/>
  <c r="I96" i="26"/>
  <c r="I97" i="26"/>
  <c r="I92" i="26"/>
  <c r="I91" i="26" s="1"/>
  <c r="I89" i="26"/>
  <c r="I87" i="26"/>
  <c r="I86" i="26"/>
  <c r="I79" i="26"/>
  <c r="I78" i="26"/>
  <c r="I72" i="26"/>
  <c r="I73" i="26"/>
  <c r="I71" i="26"/>
  <c r="I50" i="26"/>
  <c r="I51" i="26"/>
  <c r="I52" i="26"/>
  <c r="I53" i="26"/>
  <c r="I54" i="26"/>
  <c r="I55" i="26"/>
  <c r="I56" i="26"/>
  <c r="I57" i="26"/>
  <c r="I58" i="26"/>
  <c r="I59" i="26"/>
  <c r="I49" i="26"/>
  <c r="I39" i="26"/>
  <c r="I40" i="26"/>
  <c r="I41" i="26"/>
  <c r="I42" i="26"/>
  <c r="I43" i="26"/>
  <c r="I44" i="26"/>
  <c r="I45" i="26"/>
  <c r="I46" i="26"/>
  <c r="I47" i="26"/>
  <c r="I38" i="26"/>
  <c r="I31" i="26"/>
  <c r="I32" i="26"/>
  <c r="I33" i="26"/>
  <c r="I34" i="26"/>
  <c r="I35" i="26"/>
  <c r="I36" i="26"/>
  <c r="I30" i="26"/>
  <c r="I28" i="26"/>
  <c r="I27" i="26"/>
  <c r="I22" i="26"/>
  <c r="I23" i="26"/>
  <c r="I24" i="26"/>
  <c r="I25" i="26"/>
  <c r="I21" i="26"/>
  <c r="I18" i="26"/>
  <c r="I19" i="26"/>
  <c r="I17" i="26"/>
  <c r="I15" i="26"/>
  <c r="I10" i="26"/>
  <c r="I11" i="26"/>
  <c r="I12" i="26"/>
  <c r="I13" i="26"/>
  <c r="I9" i="26"/>
  <c r="H132" i="18"/>
  <c r="H21" i="18"/>
  <c r="H16" i="18"/>
  <c r="H91" i="26"/>
  <c r="J91" i="26"/>
  <c r="K91" i="26"/>
  <c r="H98" i="26"/>
  <c r="I98" i="26"/>
  <c r="J98" i="26"/>
  <c r="H95" i="18"/>
  <c r="I78" i="18"/>
  <c r="H78" i="18"/>
  <c r="H85" i="18"/>
  <c r="X41" i="22"/>
  <c r="X42" i="22"/>
  <c r="X43" i="22"/>
  <c r="X44" i="22"/>
  <c r="X45" i="22"/>
  <c r="X46" i="22"/>
  <c r="X47" i="22"/>
  <c r="X48" i="22"/>
  <c r="X49" i="22"/>
  <c r="X50" i="22"/>
  <c r="X51" i="22"/>
  <c r="X52" i="22"/>
  <c r="X53" i="22"/>
  <c r="X54" i="22"/>
  <c r="X55" i="22"/>
  <c r="X58"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X36" i="22" l="1"/>
  <c r="J109" i="26"/>
  <c r="K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<sst xmlns="http://schemas.openxmlformats.org/spreadsheetml/2006/main" count="536" uniqueCount="472">
  <si>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</si>
  <si>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</si>
  <si>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</si>
  <si>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</si>
  <si>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</si>
  <si>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</si>
  <si>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</si>
  <si>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</si>
  <si>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</si>
  <si>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</si>
  <si>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</si>
  <si>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</si>
  <si>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</si>
  <si>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</si>
  <si>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</si>
  <si>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</si>
  <si>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</si>
  <si>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</si>
  <si>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</si>
  <si>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</si>
  <si>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</si>
  <si>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</si>
  <si>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</si>
  <si>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</si>
  <si>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</si>
  <si>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</si>
  <si>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</si>
  <si>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</si>
  <si>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</si>
  <si>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</si>
  <si>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</si>
  <si>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</si>
  <si>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</si>
  <si>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</si>
  <si>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</si>
  <si>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</si>
  <si>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</si>
  <si>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</si>
  <si>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</si>
  <si>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</si>
  <si>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</si>
  <si>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</si>
  <si>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</si>
  <si>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</si>
  <si>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</si>
  <si>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</si>
  <si>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</si>
  <si>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</si>
  <si>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</si>
  <si>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</si>
  <si>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</si>
  <si>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</si>
  <si>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</si>
  <si>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</si>
  <si>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</si>
  <si>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</si>
  <si>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</si>
  <si>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</si>
  <si>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</si>
  <si>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</si>
  <si>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</si>
  <si>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</si>
  <si>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</si>
  <si>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</si>
  <si>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</si>
  <si>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</si>
  <si>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</si>
  <si>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</si>
  <si>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</si>
  <si>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</si>
  <si>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</si>
  <si>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</si>
  <si>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</si>
  <si>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</si>
  <si>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</si>
  <si>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</si>
  <si>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</si>
  <si>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</si>
  <si>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</si>
  <si>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</si>
  <si>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</si>
  <si>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</si>
  <si>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</si>
  <si>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</si>
  <si>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</si>
  <si>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</si>
  <si>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</si>
  <si>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</si>
  <si>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</si>
  <si>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</si>
  <si>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</si>
  <si>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</si>
  <si>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</si>
  <si>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</si>
  <si>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</si>
  <si>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</si>
  <si>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</si>
  <si>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</si>
  <si>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</si>
  <si>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</si>
  <si>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</si>
  <si>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</si>
  <si>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</si>
  <si>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</si>
  <si>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</si>
  <si>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</si>
  <si>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</si>
  <si>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</si>
  <si>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</si>
  <si>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</si>
  <si>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</si>
  <si>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</si>
  <si>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</si>
  <si>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</si>
  <si>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</si>
  <si>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</si>
  <si>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</si>
  <si>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</si>
  <si>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</si>
  <si>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</si>
  <si>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</si>
  <si>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</si>
  <si>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</si>
  <si>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</si>
  <si>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</si>
  <si>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</si>
  <si>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</si>
  <si>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</si>
  <si>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</si>
  <si>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</si>
  <si>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</si>
  <si>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</si>
  <si>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</si>
  <si>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</si>
  <si>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</si>
  <si>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</si>
  <si>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</si>
  <si>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</si>
  <si>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</si>
  <si>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</si>
  <si>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</si>
  <si>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</si>
  <si>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</si>
  <si>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</si>
  <si>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</si>
  <si>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</si>
  <si>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</si>
  <si>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</si>
  <si>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</si>
  <si>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</si>
  <si>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</si>
  <si>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</si>
  <si>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</si>
  <si>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</si>
  <si>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</si>
  <si>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</si>
  <si>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</si>
  <si>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</si>
  <si>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</si>
  <si>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</si>
  <si>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</si>
  <si>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</si>
  <si>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</si>
  <si>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</si>
  <si>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</si>
  <si>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</si>
  <si>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</si>
  <si>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</si>
  <si>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</si>
  <si>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</si>
  <si>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</si>
  <si>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</si>
  <si>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</si>
  <si>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</si>
  <si>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</si>
  <si>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</si>
  <si>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</si>
  <si>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</si>
  <si>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</si>
  <si>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</si>
  <si>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</si>
  <si>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</si>
  <si>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</si>
  <si>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</si>
  <si>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</si>
  <si>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</si>
  <si>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</si>
  <si>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</si>
  <si>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</si>
  <si>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</si>
  <si>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</si>
  <si>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</si>
  <si>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</si>
  <si>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</si>
  <si>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</si>
  <si>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</si>
  <si>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</si>
  <si>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</si>
  <si>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</si>
  <si>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</si>
  <si>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</si>
  <si>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</si>
  <si>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</si>
  <si>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</si>
  <si>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</si>
  <si>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</si>
  <si>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</si>
  <si>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</si>
  <si>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</si>
  <si>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</si>
  <si>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</si>
  <si>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</si>
  <si>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</si>
  <si>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</si>
  <si>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</si>
  <si>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</si>
  <si>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</si>
  <si>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</si>
  <si>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</si>
  <si>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</si>
  <si>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</si>
  <si>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</si>
  <si>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</si>
  <si>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</si>
  <si>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</si>
  <si>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</si>
  <si>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</si>
  <si>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</si>
  <si>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</si>
  <si>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</si>
  <si>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</si>
  <si>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</si>
  <si>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</si>
  <si>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</si>
  <si>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</si>
  <si>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</si>
  <si>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</si>
  <si>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</si>
  <si>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</si>
  <si>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</si>
  <si>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</si>
  <si>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</si>
  <si>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</si>
  <si>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</si>
  <si>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</si>
  <si>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</si>
  <si>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</si>
  <si>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</si>
  <si>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</si>
  <si>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</si>
  <si>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</si>
  <si>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</si>
  <si>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</si>
  <si>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</si>
  <si>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</si>
  <si>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</si>
  <si>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</si>
  <si>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</si>
  <si>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</si>
  <si>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</si>
  <si>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</si>
  <si>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</si>
  <si>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</si>
  <si>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</si>
  <si>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</si>
  <si>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</si>
  <si>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</si>
  <si>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</si>
  <si>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</si>
  <si>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</si>
  <si>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</si>
  <si>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</si>
  <si>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</si>
  <si>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</si>
  <si>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</si>
  <si>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</si>
  <si>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</si>
  <si>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</si>
  <si>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</si>
  <si>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</si>
  <si>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</si>
  <si>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</si>
  <si>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</si>
  <si>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</si>
  <si>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</si>
  <si>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</si>
  <si>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</si>
  <si>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</si>
  <si>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</si>
  <si>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</si>
  <si>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</si>
  <si>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</si>
  <si>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</si>
  <si>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</si>
  <si>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</si>
  <si>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</si>
  <si>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</si>
  <si>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</si>
  <si>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</si>
  <si>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</si>
  <si>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</si>
  <si>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</si>
  <si>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</si>
  <si>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</si>
  <si>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</si>
  <si>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</si>
  <si>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</si>
  <si>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</si>
  <si>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</si>
  <si>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</si>
  <si>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</si>
  <si>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</si>
  <si>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</si>
  <si>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</si>
  <si>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</si>
  <si>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</si>
  <si>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</si>
  <si>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</si>
  <si>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</si>
  <si>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</si>
  <si>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</si>
  <si>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</si>
  <si>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</si>
  <si>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</si>
  <si>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</si>
  <si>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</si>
  <si>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</si>
  <si>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</si>
  <si>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</si>
  <si>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</si>
  <si>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</si>
  <si>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</si>
  <si>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</si>
  <si>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</si>
  <si>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</si>
  <si>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</si>
  <si>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</si>
  <si>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</si>
  <si>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</si>
  <si>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</si>
  <si>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</si>
  <si>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</si>
  <si>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</si>
  <si>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</si>
  <si>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</si>
  <si>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</si>
  <si>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</si>
  <si>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</si>
  <si>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</si>
  <si>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</si>
  <si>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</si>
  <si>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</si>
  <si>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</si>
  <si>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</si>
  <si>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</si>
  <si>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</si>
  <si>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</si>
  <si>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</si>
  <si>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</si>
  <si>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</si>
  <si>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</si>
  <si>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</si>
  <si>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</si>
  <si>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</si>
  <si>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</si>
  <si>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</si>
  <si>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</si>
  <si>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</si>
  <si>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</si>
  <si>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</si>
  <si>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</si>
  <si>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</si>
  <si>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</si>
  <si>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</si>
  <si>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</si>
  <si>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</si>
  <si>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</si>
  <si>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</si>
  <si>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</si>
  <si>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</si>
  <si>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</si>
  <si>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</si>
  <si>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</si>
  <si>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</si>
  <si>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</si>
  <si>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</si>
  <si>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</si>
  <si>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</si>
  <si>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</si>
  <si>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</si>
  <si>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</si>
  <si>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</si>
  <si>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</si>
  <si>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</si>
  <si>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</si>
  <si>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</si>
  <si>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</si>
  <si>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</si>
  <si>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</si>
  <si>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</si>
  <si>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</si>
  <si>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</si>
  <si>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</si>
  <si>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</si>
  <si>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</si>
  <si>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</si>
  <si>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</si>
  <si>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</si>
  <si>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</si>
  <si>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</si>
  <si>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</si>
  <si>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</si>
  <si>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</si>
  <si>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</si>
  <si>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</si>
  <si>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</si>
  <si>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</si>
  <si>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</si>
  <si>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</si>
  <si>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</si>
  <si>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</si>
  <si>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</si>
  <si>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</si>
  <si>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</si>
  <si>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</si>
  <si>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</si>
  <si>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</si>
  <si>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</si>
  <si>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</si>
  <si>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</si>
  <si>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</si>
  <si>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</si>
  <si>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</si>
  <si>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</si>
  <si>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</si>
  <si>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</si>
  <si>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</si>
  <si>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</si>
  <si>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</si>
  <si>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</si>
  <si>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</si>
  <si>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</si>
  <si>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</si>
  <si>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</si>
  <si>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</si>
  <si>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</si>
  <si>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</si>
  <si>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</si>
  <si>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</si>
  <si>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</si>
  <si>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</si>
  <si>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03298744</t>
  </si>
  <si>
    <t>HR</t>
  </si>
  <si>
    <t>080037012</t>
  </si>
  <si>
    <t>24640993045</t>
  </si>
  <si>
    <t>637</t>
  </si>
  <si>
    <t>CROATIA AIRLINES d.d.</t>
  </si>
  <si>
    <t>ZAGREB</t>
  </si>
  <si>
    <t>BANI 75 b</t>
  </si>
  <si>
    <t>uprava@croatiaairlines.hr</t>
  </si>
  <si>
    <t>www.croatiaairlines.hr</t>
  </si>
  <si>
    <t>DIJANA JANUŠIĆ</t>
  </si>
  <si>
    <t>01/6160049</t>
  </si>
  <si>
    <t>dijana.janusic@croatiaairlines.hr</t>
  </si>
  <si>
    <t>BDO CROATIA d.o.o.</t>
  </si>
  <si>
    <t>VEDRANA STIPIĆ</t>
  </si>
  <si>
    <t>1.1.2026 do 31.03.2026</t>
  </si>
  <si>
    <t>Obveznik: CROATIA AIRLINES d.d. ________________________________________________________________________</t>
  </si>
  <si>
    <t>Obveznik: _CROATIA AIRLINES d.d.____________________________________________________________</t>
  </si>
  <si>
    <t>stanje na dan 31.3.2026</t>
  </si>
  <si>
    <t>u razdoblju 1.1.2026. do 31.3.2026.</t>
  </si>
  <si>
    <t xml:space="preserve">BILJEŠKE UZ FINANCIJSKE IZVJEŠTAJE - TFI
(koji se sastavljaju za tromjesečna razdoblja)
Naziv izdavatelja:   CROATIA AIRLINES d.d.
OIB:   24640993045
Izvještajno razdoblje: 1.1.-31.3.2026.
Poslovanje Croatia Airlinesa u prvom kvartalu 2026. godine odvijalo se u složenim okolnostima u kojima su istodobno djelovali interni učinci investicijskog ciklusa obnove i zamjene flote novim zrakoplovima A220 te nepovoljna kretanja u vanjskom okruženju.
Kompanija se suočava s povećanim operativnim i financijskim opterećenjima zbog troškova implementacije novih zrakoplova te prilagodbe procesa i prijelaznih učinaka u korištenju flote, što vrši pritisak na profitabilnost i rezultira očekivano negativnim učinkom. Dodatno, eskalacija geopolitičkih rizika na Bliskom istoku tijekom ožujka 2026. potaknula je rast cijena mlaznog goriva, što je dodatno opteretilo operativne rezultate kompanije. 
Kriza u zrakoplovstvu, povezana sa značajnim rastom cijena goriva, zatekla je Croatia Airlines u trenutku rekordnog broja putnika u prvom kvartalu 2026. godine, kada je prevezeno 405.160 putnika, što je 23 posto, odnosno oko 75 tisuća putnika više nego u istom razdoblju 2025. godine.
Kao posljedica kombinacije strukturnih tranzicijskih troškova i nepovoljnih tržišnih kretanja, s kumulativnim učinkom navedenih čimbenika, u prvom kvartalu 2026. godine ostvaren je gubitak iz poslovanja u iznosu od 22,1 milijun EUR, dok ukupni gubitak, uključujući neto rezultat financiranja, iznosi 29,9 milijuna EUR.
I u nastavku 2026. godine poslovanje Croatia Airlinesa bit će obilježeno povećanom izloženošću ključnim vanjskim i unutarnjim rizicima od kojih se kao najznačajniji izdvajaju operativni i financijski učinci tranzicije flote, poremećaji u opskrbi rezervnim dijelovima i održavanju zrakoplova, rast i izrazita volatilnost cijena mlaznog goriva te rizik nedostatka goriva na pojedinim zračnim lukama u Europi zbog eskalacije geopolitičkih napetosti i ratnih sukoba na Bliskom istoku. 
U takvom okruženju upravljanje troškovima, osiguravanje operativne stabilnosti i prilagodba promjenjivim tržišnim uvjetima ostaju ključni prioriteti, dok će ukupni poslovni rezultati u nastavku godine uvelike ovisiti o razvoju navedenih rizika te ograničenim mogućnostima kompanije da ublaži njihove učinke.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</si>
</sst>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14" fontId="6" fillId="0" borderId="0" xfId="5" applyNumberFormat="1"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CF374FBC-EF08-4962-95AF-8780C3899A1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451</v>
      </c>
      <c r="D11" s="138"/>
      <c r="E11" s="67"/>
      <c r="F11" s="146" t="s">
        <v>331</v>
      </c>
      <c r="G11" s="136"/>
      <c r="H11" s="147" t="s">
        <v>452</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453</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454</v>
      </c>
      <c r="D15" s="138"/>
      <c r="E15" s="155"/>
      <c r="F15" s="156"/>
      <c r="G15" s="73" t="s">
        <v>332</v>
      </c>
      <c r="H15" s="147"/>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455</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456</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100100</v>
      </c>
      <c r="D21" s="148"/>
      <c r="E21" s="141"/>
      <c r="F21" s="141"/>
      <c r="G21" s="152" t="s">
        <v>457</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458</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459</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460</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1007</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461</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462</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463</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t="s">
        <v>464</v>
      </c>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t="s">
        <v>465</v>
      </c>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73" zoomScaleNormal="100" zoomScaleSheetLayoutView="100" workbookViewId="0">
      <selection activeCell="I77" sqref="I7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469</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456</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312299956.88999999</v>
      </c>
      <c r="I9" s="91">
        <f>I10+I17+I27+I38+I43</f>
        <v>333703244.93000001</v>
      </c>
    </row>
    <row r="10" spans="1:9" ht="12.75" customHeight="1" x14ac:dyDescent="0.2">
      <c r="A10" s="183" t="s">
        <v>5</v>
      </c>
      <c r="B10" s="183"/>
      <c r="C10" s="183"/>
      <c r="D10" s="183"/>
      <c r="E10" s="183"/>
      <c r="F10" s="183"/>
      <c r="G10" s="8">
        <v>3</v>
      </c>
      <c r="H10" s="91">
        <f>H11+H12+H13+H14+H15+H16</f>
        <v>1657597.57</v>
      </c>
      <c r="I10" s="91">
        <f>I11+I12+I13+I14+I15+I16</f>
        <v>1642456.1</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351805.34</v>
      </c>
      <c r="I12" s="90">
        <v>313666.07</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1067382.75</v>
      </c>
      <c r="I15" s="90">
        <v>1119089.4099999999</v>
      </c>
    </row>
    <row r="16" spans="1:9" ht="12.75" customHeight="1" x14ac:dyDescent="0.2">
      <c r="A16" s="182" t="s">
        <v>11</v>
      </c>
      <c r="B16" s="182"/>
      <c r="C16" s="182"/>
      <c r="D16" s="182"/>
      <c r="E16" s="182"/>
      <c r="F16" s="182"/>
      <c r="G16" s="7">
        <v>9</v>
      </c>
      <c r="H16" s="90">
        <f>238409.48</f>
        <v>238409.48</v>
      </c>
      <c r="I16" s="90">
        <v>209700.62</v>
      </c>
    </row>
    <row r="17" spans="1:9" ht="12.75" customHeight="1" x14ac:dyDescent="0.2">
      <c r="A17" s="183" t="s">
        <v>12</v>
      </c>
      <c r="B17" s="183"/>
      <c r="C17" s="183"/>
      <c r="D17" s="183"/>
      <c r="E17" s="183"/>
      <c r="F17" s="183"/>
      <c r="G17" s="8">
        <v>10</v>
      </c>
      <c r="H17" s="91">
        <f>H18+H19+H20+H21+H22+H23+H24+H25+H26</f>
        <v>239563584.94999999</v>
      </c>
      <c r="I17" s="91">
        <f>I18+I19+I20+I21+I22+I23+I24+I25+I26</f>
        <v>254949300.68000001</v>
      </c>
    </row>
    <row r="18" spans="1:9" ht="12.75" customHeight="1" x14ac:dyDescent="0.2">
      <c r="A18" s="182" t="s">
        <v>13</v>
      </c>
      <c r="B18" s="182"/>
      <c r="C18" s="182"/>
      <c r="D18" s="182"/>
      <c r="E18" s="182"/>
      <c r="F18" s="182"/>
      <c r="G18" s="7">
        <v>11</v>
      </c>
      <c r="H18" s="90">
        <v>2621659.2599999998</v>
      </c>
      <c r="I18" s="90">
        <v>2621659.2599999998</v>
      </c>
    </row>
    <row r="19" spans="1:9" ht="12.75" customHeight="1" x14ac:dyDescent="0.2">
      <c r="A19" s="182" t="s">
        <v>14</v>
      </c>
      <c r="B19" s="182"/>
      <c r="C19" s="182"/>
      <c r="D19" s="182"/>
      <c r="E19" s="182"/>
      <c r="F19" s="182"/>
      <c r="G19" s="7">
        <v>12</v>
      </c>
      <c r="H19" s="90">
        <f>1639436.77+1800924.63</f>
        <v>3440361.4</v>
      </c>
      <c r="I19" s="90">
        <f>1582733.09+1556064.77</f>
        <v>3138797.86</v>
      </c>
    </row>
    <row r="20" spans="1:9" ht="12.75" customHeight="1" x14ac:dyDescent="0.2">
      <c r="A20" s="182" t="s">
        <v>15</v>
      </c>
      <c r="B20" s="182"/>
      <c r="C20" s="182"/>
      <c r="D20" s="182"/>
      <c r="E20" s="182"/>
      <c r="F20" s="182"/>
      <c r="G20" s="7">
        <v>13</v>
      </c>
      <c r="H20" s="90">
        <v>29066763.370000001</v>
      </c>
      <c r="I20" s="90">
        <v>28812194.870000001</v>
      </c>
    </row>
    <row r="21" spans="1:9" ht="12.75" customHeight="1" x14ac:dyDescent="0.2">
      <c r="A21" s="182" t="s">
        <v>16</v>
      </c>
      <c r="B21" s="182"/>
      <c r="C21" s="182"/>
      <c r="D21" s="182"/>
      <c r="E21" s="182"/>
      <c r="F21" s="182"/>
      <c r="G21" s="7">
        <v>14</v>
      </c>
      <c r="H21" s="90">
        <f>130722.1+113695.47+197420469.18</f>
        <v>197664886.75</v>
      </c>
      <c r="I21" s="90">
        <f>220751.76+213312627.77+103090.34</f>
        <v>213636469.87</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6281342.3700000001</v>
      </c>
      <c r="I23" s="90">
        <v>6281342.3700000001</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488571.8</v>
      </c>
      <c r="I25" s="90">
        <v>458836.45</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13823668.66</v>
      </c>
      <c r="I27" s="91">
        <f>SUM(I28:I37)</f>
        <v>14001181.960000001</v>
      </c>
    </row>
    <row r="28" spans="1:9" ht="12.75" customHeight="1" x14ac:dyDescent="0.2">
      <c r="A28" s="182" t="s">
        <v>23</v>
      </c>
      <c r="B28" s="182"/>
      <c r="C28" s="182"/>
      <c r="D28" s="182"/>
      <c r="E28" s="182"/>
      <c r="F28" s="182"/>
      <c r="G28" s="7">
        <v>21</v>
      </c>
      <c r="H28" s="90">
        <v>346459.61</v>
      </c>
      <c r="I28" s="90">
        <v>346459.61</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25000</v>
      </c>
      <c r="I34" s="90">
        <v>25000</v>
      </c>
    </row>
    <row r="35" spans="1:9" ht="12.75" customHeight="1" x14ac:dyDescent="0.2">
      <c r="A35" s="182" t="s">
        <v>30</v>
      </c>
      <c r="B35" s="182"/>
      <c r="C35" s="182"/>
      <c r="D35" s="182"/>
      <c r="E35" s="182"/>
      <c r="F35" s="182"/>
      <c r="G35" s="7">
        <v>28</v>
      </c>
      <c r="H35" s="90">
        <v>13452209.050000001</v>
      </c>
      <c r="I35" s="90">
        <v>13629722.35</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57255105.710000001</v>
      </c>
      <c r="I38" s="91">
        <f>I39+I40+I41+I42</f>
        <v>63110306.189999998</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57255105.710000001</v>
      </c>
      <c r="I42" s="90">
        <v>63110306.189999998</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47034996.189999998</v>
      </c>
      <c r="I44" s="91">
        <f>I45+I53+I60+I70</f>
        <v>81372445.230000004</v>
      </c>
    </row>
    <row r="45" spans="1:9" ht="12.75" customHeight="1" x14ac:dyDescent="0.2">
      <c r="A45" s="183" t="s">
        <v>39</v>
      </c>
      <c r="B45" s="183"/>
      <c r="C45" s="183"/>
      <c r="D45" s="183"/>
      <c r="E45" s="183"/>
      <c r="F45" s="183"/>
      <c r="G45" s="8">
        <v>38</v>
      </c>
      <c r="H45" s="91">
        <f>SUM(H46:H52)</f>
        <v>11996000.289999999</v>
      </c>
      <c r="I45" s="91">
        <f>SUM(I46:I52)</f>
        <v>12302426.130000001</v>
      </c>
    </row>
    <row r="46" spans="1:9" ht="12.75" customHeight="1" x14ac:dyDescent="0.2">
      <c r="A46" s="182" t="s">
        <v>40</v>
      </c>
      <c r="B46" s="182"/>
      <c r="C46" s="182"/>
      <c r="D46" s="182"/>
      <c r="E46" s="182"/>
      <c r="F46" s="182"/>
      <c r="G46" s="7">
        <v>39</v>
      </c>
      <c r="H46" s="90">
        <v>11996000.289999999</v>
      </c>
      <c r="I46" s="90">
        <v>12302426.130000001</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21932026.34</v>
      </c>
      <c r="I53" s="91">
        <f>SUM(I54:I59)</f>
        <v>33068426.370000001</v>
      </c>
    </row>
    <row r="54" spans="1:9" ht="12.75" customHeight="1" x14ac:dyDescent="0.2">
      <c r="A54" s="182" t="s">
        <v>48</v>
      </c>
      <c r="B54" s="182"/>
      <c r="C54" s="182"/>
      <c r="D54" s="182"/>
      <c r="E54" s="182"/>
      <c r="F54" s="182"/>
      <c r="G54" s="7">
        <v>47</v>
      </c>
      <c r="H54" s="90">
        <v>3842.01</v>
      </c>
      <c r="I54" s="90">
        <v>3842.01</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13578233.960000001</v>
      </c>
      <c r="I56" s="90">
        <v>28317652.41</v>
      </c>
    </row>
    <row r="57" spans="1:9" ht="12.75" customHeight="1" x14ac:dyDescent="0.2">
      <c r="A57" s="182" t="s">
        <v>51</v>
      </c>
      <c r="B57" s="182"/>
      <c r="C57" s="182"/>
      <c r="D57" s="182"/>
      <c r="E57" s="182"/>
      <c r="F57" s="182"/>
      <c r="G57" s="7">
        <v>50</v>
      </c>
      <c r="H57" s="90">
        <v>34192.870000000003</v>
      </c>
      <c r="I57" s="90">
        <v>40157.15</v>
      </c>
    </row>
    <row r="58" spans="1:9" ht="12.75" customHeight="1" x14ac:dyDescent="0.2">
      <c r="A58" s="182" t="s">
        <v>52</v>
      </c>
      <c r="B58" s="182"/>
      <c r="C58" s="182"/>
      <c r="D58" s="182"/>
      <c r="E58" s="182"/>
      <c r="F58" s="182"/>
      <c r="G58" s="7">
        <v>51</v>
      </c>
      <c r="H58" s="90">
        <v>6469993.71</v>
      </c>
      <c r="I58" s="90">
        <v>68294.58</v>
      </c>
    </row>
    <row r="59" spans="1:9" ht="12.75" customHeight="1" x14ac:dyDescent="0.2">
      <c r="A59" s="182" t="s">
        <v>53</v>
      </c>
      <c r="B59" s="182"/>
      <c r="C59" s="182"/>
      <c r="D59" s="182"/>
      <c r="E59" s="182"/>
      <c r="F59" s="182"/>
      <c r="G59" s="7">
        <v>52</v>
      </c>
      <c r="H59" s="90">
        <v>1845763.79</v>
      </c>
      <c r="I59" s="90">
        <v>4638480.22</v>
      </c>
    </row>
    <row r="60" spans="1:9" ht="12.75" customHeight="1" x14ac:dyDescent="0.2">
      <c r="A60" s="183" t="s">
        <v>54</v>
      </c>
      <c r="B60" s="183"/>
      <c r="C60" s="183"/>
      <c r="D60" s="183"/>
      <c r="E60" s="183"/>
      <c r="F60" s="183"/>
      <c r="G60" s="8">
        <v>53</v>
      </c>
      <c r="H60" s="91">
        <f>SUM(H61:H69)</f>
        <v>1212480.5</v>
      </c>
      <c r="I60" s="91">
        <f>SUM(I61:I69)</f>
        <v>3141728.51</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25</v>
      </c>
      <c r="I67" s="90">
        <v>25</v>
      </c>
    </row>
    <row r="68" spans="1:9" ht="12.75" customHeight="1" x14ac:dyDescent="0.2">
      <c r="A68" s="182" t="s">
        <v>30</v>
      </c>
      <c r="B68" s="182"/>
      <c r="C68" s="182"/>
      <c r="D68" s="182"/>
      <c r="E68" s="182"/>
      <c r="F68" s="182"/>
      <c r="G68" s="7">
        <v>61</v>
      </c>
      <c r="H68" s="90">
        <v>1212455.5</v>
      </c>
      <c r="I68" s="90">
        <v>3141703.51</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11894489.060000001</v>
      </c>
      <c r="I70" s="90">
        <v>32859864.219999999</v>
      </c>
    </row>
    <row r="71" spans="1:9" ht="12.75" customHeight="1" x14ac:dyDescent="0.2">
      <c r="A71" s="198" t="s">
        <v>58</v>
      </c>
      <c r="B71" s="198"/>
      <c r="C71" s="198"/>
      <c r="D71" s="198"/>
      <c r="E71" s="198"/>
      <c r="F71" s="198"/>
      <c r="G71" s="7">
        <v>64</v>
      </c>
      <c r="H71" s="90">
        <v>4092796.45</v>
      </c>
      <c r="I71" s="90">
        <v>6662311.2400000002</v>
      </c>
    </row>
    <row r="72" spans="1:9" ht="12.75" customHeight="1" x14ac:dyDescent="0.2">
      <c r="A72" s="184" t="s">
        <v>302</v>
      </c>
      <c r="B72" s="184"/>
      <c r="C72" s="184"/>
      <c r="D72" s="184"/>
      <c r="E72" s="184"/>
      <c r="F72" s="184"/>
      <c r="G72" s="8">
        <v>65</v>
      </c>
      <c r="H72" s="91">
        <f>H8+H9+H44+H71</f>
        <v>363427749.52999997</v>
      </c>
      <c r="I72" s="91">
        <f>I8+I9+I44+I71</f>
        <v>421738001.39999998</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6376895.0499999998</v>
      </c>
      <c r="I75" s="92">
        <f>I76+I77+I78+I84+I85+I92+I95+I98</f>
        <v>54389617.130000003</v>
      </c>
    </row>
    <row r="76" spans="1:9" ht="12.75" customHeight="1" x14ac:dyDescent="0.2">
      <c r="A76" s="182" t="s">
        <v>61</v>
      </c>
      <c r="B76" s="182"/>
      <c r="C76" s="182"/>
      <c r="D76" s="182"/>
      <c r="E76" s="182"/>
      <c r="F76" s="182"/>
      <c r="G76" s="7">
        <v>68</v>
      </c>
      <c r="H76" s="90">
        <v>92387953</v>
      </c>
      <c r="I76" s="90">
        <v>135387953</v>
      </c>
    </row>
    <row r="77" spans="1:9" ht="12.75" customHeight="1" x14ac:dyDescent="0.2">
      <c r="A77" s="182" t="s">
        <v>62</v>
      </c>
      <c r="B77" s="182"/>
      <c r="C77" s="182"/>
      <c r="D77" s="182"/>
      <c r="E77" s="182"/>
      <c r="F77" s="182"/>
      <c r="G77" s="7">
        <v>69</v>
      </c>
      <c r="H77" s="90">
        <v>43000000</v>
      </c>
      <c r="I77" s="90">
        <f>35000000+42878556.37</f>
        <v>77878556.370000005</v>
      </c>
    </row>
    <row r="78" spans="1:9" ht="12.75" customHeight="1" x14ac:dyDescent="0.2">
      <c r="A78" s="183" t="s">
        <v>63</v>
      </c>
      <c r="B78" s="183"/>
      <c r="C78" s="183"/>
      <c r="D78" s="183"/>
      <c r="E78" s="183"/>
      <c r="F78" s="183"/>
      <c r="G78" s="8">
        <v>70</v>
      </c>
      <c r="H78" s="92">
        <f>SUM(H79:H83)</f>
        <v>0</v>
      </c>
      <c r="I78" s="92">
        <f>SUM(I79:I83)</f>
        <v>0</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7075550.5499999998</v>
      </c>
      <c r="I84" s="93">
        <v>7075550.5499999998</v>
      </c>
    </row>
    <row r="85" spans="1:9" ht="12.75" customHeight="1" x14ac:dyDescent="0.2">
      <c r="A85" s="183" t="s">
        <v>434</v>
      </c>
      <c r="B85" s="183"/>
      <c r="C85" s="183"/>
      <c r="D85" s="183"/>
      <c r="E85" s="183"/>
      <c r="F85" s="183"/>
      <c r="G85" s="8">
        <v>77</v>
      </c>
      <c r="H85" s="91">
        <f>H86+H87+H88+H89+H90+H91</f>
        <v>0</v>
      </c>
      <c r="I85" s="91">
        <f>I86+I87+I88+I89+I90+I91</f>
        <v>0</v>
      </c>
    </row>
    <row r="86" spans="1:9" ht="25.5" customHeight="1" x14ac:dyDescent="0.2">
      <c r="A86" s="182" t="s">
        <v>429</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-97376000.75</v>
      </c>
      <c r="I92" s="91">
        <f>I93-I94</f>
        <v>-136086608.5</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97376000.75</v>
      </c>
      <c r="I94" s="90">
        <f>97376000.75+38710607.75</f>
        <v>136086608.5</v>
      </c>
    </row>
    <row r="95" spans="1:9" ht="12.75" customHeight="1" x14ac:dyDescent="0.2">
      <c r="A95" s="183" t="s">
        <v>436</v>
      </c>
      <c r="B95" s="183"/>
      <c r="C95" s="183"/>
      <c r="D95" s="183"/>
      <c r="E95" s="183"/>
      <c r="F95" s="183"/>
      <c r="G95" s="8">
        <v>87</v>
      </c>
      <c r="H95" s="91">
        <f>H96-H97</f>
        <v>-38710607.75</v>
      </c>
      <c r="I95" s="91">
        <f>I96-I97</f>
        <v>-29865834.289999999</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38710607.75</v>
      </c>
      <c r="I97" s="90">
        <f>29865834.29</f>
        <v>29865834.289999999</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55677648.530000001</v>
      </c>
      <c r="I99" s="91">
        <f>SUM(I100:I105)</f>
        <v>60937671.810000002</v>
      </c>
    </row>
    <row r="100" spans="1:9" ht="12.75" customHeight="1" x14ac:dyDescent="0.2">
      <c r="A100" s="182" t="s">
        <v>77</v>
      </c>
      <c r="B100" s="182"/>
      <c r="C100" s="182"/>
      <c r="D100" s="182"/>
      <c r="E100" s="182"/>
      <c r="F100" s="182"/>
      <c r="G100" s="7">
        <v>92</v>
      </c>
      <c r="H100" s="90">
        <v>311487.01</v>
      </c>
      <c r="I100" s="90">
        <v>311487.01</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1134476.71</v>
      </c>
      <c r="I102" s="90">
        <v>314801.34000000003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54231684.810000002</v>
      </c>
      <c r="I105" s="90">
        <v>60311383.460000001</v>
      </c>
    </row>
    <row r="106" spans="1:9" ht="12.75" customHeight="1" x14ac:dyDescent="0.2">
      <c r="A106" s="184" t="s">
        <v>438</v>
      </c>
      <c r="B106" s="184"/>
      <c r="C106" s="184"/>
      <c r="D106" s="184"/>
      <c r="E106" s="184"/>
      <c r="F106" s="184"/>
      <c r="G106" s="8">
        <v>98</v>
      </c>
      <c r="H106" s="91">
        <f>SUM(H107:H117)</f>
        <v>219323547.16</v>
      </c>
      <c r="I106" s="91">
        <f>SUM(I107:I117)</f>
        <v>197670523.03999999</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42829556.409999996</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84553.25</v>
      </c>
      <c r="I111" s="90">
        <v>84553.25</v>
      </c>
    </row>
    <row r="112" spans="1:9" ht="12.75" customHeight="1" x14ac:dyDescent="0.2">
      <c r="A112" s="182" t="s">
        <v>88</v>
      </c>
      <c r="B112" s="182"/>
      <c r="C112" s="182"/>
      <c r="D112" s="182"/>
      <c r="E112" s="182"/>
      <c r="F112" s="182"/>
      <c r="G112" s="7">
        <v>104</v>
      </c>
      <c r="H112" s="90">
        <v>174013098.02000001</v>
      </c>
      <c r="I112" s="90">
        <v>195427284.61000001</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911879.79</v>
      </c>
      <c r="I116" s="90">
        <v>674225.49</v>
      </c>
    </row>
    <row r="117" spans="1:9" ht="12.75" customHeight="1" x14ac:dyDescent="0.2">
      <c r="A117" s="182" t="s">
        <v>93</v>
      </c>
      <c r="B117" s="182"/>
      <c r="C117" s="182"/>
      <c r="D117" s="182"/>
      <c r="E117" s="182"/>
      <c r="F117" s="182"/>
      <c r="G117" s="7">
        <v>109</v>
      </c>
      <c r="H117" s="90">
        <v>1484459.69</v>
      </c>
      <c r="I117" s="90">
        <v>1484459.69</v>
      </c>
    </row>
    <row r="118" spans="1:9" ht="12.75" customHeight="1" x14ac:dyDescent="0.2">
      <c r="A118" s="184" t="s">
        <v>439</v>
      </c>
      <c r="B118" s="184"/>
      <c r="C118" s="184"/>
      <c r="D118" s="184"/>
      <c r="E118" s="184"/>
      <c r="F118" s="184"/>
      <c r="G118" s="8">
        <v>110</v>
      </c>
      <c r="H118" s="91">
        <f>SUM(H119:H132)</f>
        <v>67387487.049999997</v>
      </c>
      <c r="I118" s="91">
        <f>SUM(I119:I132)</f>
        <v>95758329.950000003</v>
      </c>
    </row>
    <row r="119" spans="1:9" ht="12.75" customHeight="1" x14ac:dyDescent="0.2">
      <c r="A119" s="182" t="s">
        <v>83</v>
      </c>
      <c r="B119" s="182"/>
      <c r="C119" s="182"/>
      <c r="D119" s="182"/>
      <c r="E119" s="182"/>
      <c r="F119" s="182"/>
      <c r="G119" s="7">
        <v>111</v>
      </c>
      <c r="H119" s="90">
        <v>145</v>
      </c>
      <c r="I119" s="90">
        <v>498</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1605257.65</v>
      </c>
      <c r="I123" s="90">
        <v>2604537.71</v>
      </c>
    </row>
    <row r="124" spans="1:9" ht="12.75" customHeight="1" x14ac:dyDescent="0.2">
      <c r="A124" s="182" t="s">
        <v>88</v>
      </c>
      <c r="B124" s="182"/>
      <c r="C124" s="182"/>
      <c r="D124" s="182"/>
      <c r="E124" s="182"/>
      <c r="F124" s="182"/>
      <c r="G124" s="7">
        <v>116</v>
      </c>
      <c r="H124" s="90">
        <v>17894146.309999999</v>
      </c>
      <c r="I124" s="90">
        <v>18319185.100000001</v>
      </c>
    </row>
    <row r="125" spans="1:9" ht="12.75" customHeight="1" x14ac:dyDescent="0.2">
      <c r="A125" s="182" t="s">
        <v>89</v>
      </c>
      <c r="B125" s="182"/>
      <c r="C125" s="182"/>
      <c r="D125" s="182"/>
      <c r="E125" s="182"/>
      <c r="F125" s="182"/>
      <c r="G125" s="7">
        <v>117</v>
      </c>
      <c r="H125" s="90">
        <v>393725.65</v>
      </c>
      <c r="I125" s="90">
        <v>85302.04</v>
      </c>
    </row>
    <row r="126" spans="1:9" ht="12.75" customHeight="1" x14ac:dyDescent="0.2">
      <c r="A126" s="182" t="s">
        <v>90</v>
      </c>
      <c r="B126" s="182"/>
      <c r="C126" s="182"/>
      <c r="D126" s="182"/>
      <c r="E126" s="182"/>
      <c r="F126" s="182"/>
      <c r="G126" s="7">
        <v>118</v>
      </c>
      <c r="H126" s="90">
        <v>22590000.07</v>
      </c>
      <c r="I126" s="90">
        <v>22652358.77</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2514406.84</v>
      </c>
      <c r="I128" s="90">
        <v>2345463.23</v>
      </c>
    </row>
    <row r="129" spans="1:9" x14ac:dyDescent="0.2">
      <c r="A129" s="182" t="s">
        <v>95</v>
      </c>
      <c r="B129" s="182"/>
      <c r="C129" s="182"/>
      <c r="D129" s="182"/>
      <c r="E129" s="182"/>
      <c r="F129" s="182"/>
      <c r="G129" s="7">
        <v>121</v>
      </c>
      <c r="H129" s="90">
        <v>2186940.7200000002</v>
      </c>
      <c r="I129" s="90">
        <v>2336397.1</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f>-226189.37+933316.75+19508312.83-12575.4</f>
        <v>20202864.809999999</v>
      </c>
      <c r="I132" s="90">
        <f>129984.98+46522988.61-162646.15+924260.56</f>
        <v>47414588</v>
      </c>
    </row>
    <row r="133" spans="1:9" ht="22.15" customHeight="1" x14ac:dyDescent="0.2">
      <c r="A133" s="198" t="s">
        <v>99</v>
      </c>
      <c r="B133" s="198"/>
      <c r="C133" s="198"/>
      <c r="D133" s="198"/>
      <c r="E133" s="198"/>
      <c r="F133" s="198"/>
      <c r="G133" s="7">
        <v>125</v>
      </c>
      <c r="H133" s="90">
        <v>14662171.74</v>
      </c>
      <c r="I133" s="90">
        <v>12981859.470000001</v>
      </c>
    </row>
    <row r="134" spans="1:9" ht="12.75" customHeight="1" x14ac:dyDescent="0.2">
      <c r="A134" s="184" t="s">
        <v>440</v>
      </c>
      <c r="B134" s="184"/>
      <c r="C134" s="184"/>
      <c r="D134" s="184"/>
      <c r="E134" s="184"/>
      <c r="F134" s="184"/>
      <c r="G134" s="8">
        <v>126</v>
      </c>
      <c r="H134" s="91">
        <f>H75+H99+H106+H118+H133</f>
        <v>363427749.52999997</v>
      </c>
      <c r="I134" s="91">
        <f>I75+I99+I106+I118+I133</f>
        <v>421738001.39999998</v>
      </c>
    </row>
    <row r="135" spans="1:9" x14ac:dyDescent="0.2">
      <c r="A135" s="198" t="s">
        <v>100</v>
      </c>
      <c r="B135" s="198"/>
      <c r="C135" s="198"/>
      <c r="D135" s="198"/>
      <c r="E135" s="198"/>
      <c r="F135" s="198"/>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115" zoomScaleNormal="115" zoomScaleSheetLayoutView="110" workbookViewId="0">
      <selection activeCell="P15" sqref="P1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466</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467</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42900179.200000003</v>
      </c>
      <c r="I8" s="94">
        <f>SUM(I9:I13)</f>
        <v>42900179.200000003</v>
      </c>
      <c r="J8" s="94">
        <f>SUM(J9:J13)</f>
        <v>47004885.969999999</v>
      </c>
      <c r="K8" s="94">
        <f>SUM(K9:K13)</f>
        <v>47004885.969999999</v>
      </c>
    </row>
    <row r="9" spans="1:11" ht="12.75" customHeight="1" x14ac:dyDescent="0.2">
      <c r="A9" s="182" t="s">
        <v>115</v>
      </c>
      <c r="B9" s="182"/>
      <c r="C9" s="182"/>
      <c r="D9" s="182"/>
      <c r="E9" s="182"/>
      <c r="F9" s="182"/>
      <c r="G9" s="7">
        <v>2</v>
      </c>
      <c r="H9" s="95">
        <v>5720.83</v>
      </c>
      <c r="I9" s="95">
        <f>+H9</f>
        <v>5720.83</v>
      </c>
      <c r="J9" s="95">
        <v>5720.83</v>
      </c>
      <c r="K9" s="95">
        <f>+J9</f>
        <v>5720.83</v>
      </c>
    </row>
    <row r="10" spans="1:11" ht="12.75" customHeight="1" x14ac:dyDescent="0.2">
      <c r="A10" s="182" t="s">
        <v>441</v>
      </c>
      <c r="B10" s="182"/>
      <c r="C10" s="182"/>
      <c r="D10" s="182"/>
      <c r="E10" s="182"/>
      <c r="F10" s="182"/>
      <c r="G10" s="7">
        <v>3</v>
      </c>
      <c r="H10" s="95">
        <v>37367727.520000003</v>
      </c>
      <c r="I10" s="95">
        <f t="shared" ref="I10:I13" si="0">+H10</f>
        <v>37367727.520000003</v>
      </c>
      <c r="J10" s="95">
        <v>43185748.460000001</v>
      </c>
      <c r="K10" s="95">
        <f t="shared" ref="K10:K13" si="1">+J10</f>
        <v>43185748.460000001</v>
      </c>
    </row>
    <row r="11" spans="1:11" ht="12.75" customHeight="1" x14ac:dyDescent="0.2">
      <c r="A11" s="182" t="s">
        <v>116</v>
      </c>
      <c r="B11" s="182"/>
      <c r="C11" s="182"/>
      <c r="D11" s="182"/>
      <c r="E11" s="182"/>
      <c r="F11" s="182"/>
      <c r="G11" s="7">
        <v>4</v>
      </c>
      <c r="H11" s="95">
        <v>0</v>
      </c>
      <c r="I11" s="95">
        <f t="shared" si="0"/>
        <v>0</v>
      </c>
      <c r="J11" s="95">
        <v>0</v>
      </c>
      <c r="K11" s="95">
        <f t="shared" si="1"/>
        <v>0</v>
      </c>
    </row>
    <row r="12" spans="1:11" ht="12.75" customHeight="1" x14ac:dyDescent="0.2">
      <c r="A12" s="182" t="s">
        <v>117</v>
      </c>
      <c r="B12" s="182"/>
      <c r="C12" s="182"/>
      <c r="D12" s="182"/>
      <c r="E12" s="182"/>
      <c r="F12" s="182"/>
      <c r="G12" s="7">
        <v>5</v>
      </c>
      <c r="H12" s="95">
        <v>0</v>
      </c>
      <c r="I12" s="95">
        <f t="shared" si="0"/>
        <v>0</v>
      </c>
      <c r="J12" s="95">
        <v>0</v>
      </c>
      <c r="K12" s="95">
        <f t="shared" si="1"/>
        <v>0</v>
      </c>
    </row>
    <row r="13" spans="1:11" ht="12.75" customHeight="1" x14ac:dyDescent="0.2">
      <c r="A13" s="182" t="s">
        <v>118</v>
      </c>
      <c r="B13" s="182"/>
      <c r="C13" s="182"/>
      <c r="D13" s="182"/>
      <c r="E13" s="182"/>
      <c r="F13" s="182"/>
      <c r="G13" s="7">
        <v>6</v>
      </c>
      <c r="H13" s="95">
        <v>5526730.8499999996</v>
      </c>
      <c r="I13" s="95">
        <f t="shared" si="0"/>
        <v>5526730.8499999996</v>
      </c>
      <c r="J13" s="95">
        <v>3813416.68</v>
      </c>
      <c r="K13" s="95">
        <f t="shared" si="1"/>
        <v>3813416.68</v>
      </c>
    </row>
    <row r="14" spans="1:11" ht="12.75" customHeight="1" x14ac:dyDescent="0.2">
      <c r="A14" s="216" t="s">
        <v>351</v>
      </c>
      <c r="B14" s="216"/>
      <c r="C14" s="216"/>
      <c r="D14" s="216"/>
      <c r="E14" s="216"/>
      <c r="F14" s="216"/>
      <c r="G14" s="8">
        <v>7</v>
      </c>
      <c r="H14" s="94">
        <f>H15+H16+H20+H24+H25+H26+H29+H36</f>
        <v>58268660.960000001</v>
      </c>
      <c r="I14" s="94">
        <f>I15+I16+I20+I24+I25+I26+I29+I36</f>
        <v>58268660.960000001</v>
      </c>
      <c r="J14" s="94">
        <f>J15+J16+J20+J24+J25+J26+J29+J36</f>
        <v>69055013.930000007</v>
      </c>
      <c r="K14" s="94">
        <f>K15+K16+K20+K24+K25+K26+K29+K36</f>
        <v>69055013.930000007</v>
      </c>
    </row>
    <row r="15" spans="1:11" ht="12.75" customHeight="1" x14ac:dyDescent="0.2">
      <c r="A15" s="182" t="s">
        <v>104</v>
      </c>
      <c r="B15" s="182"/>
      <c r="C15" s="182"/>
      <c r="D15" s="182"/>
      <c r="E15" s="182"/>
      <c r="F15" s="182"/>
      <c r="G15" s="7">
        <v>8</v>
      </c>
      <c r="H15" s="95">
        <v>0</v>
      </c>
      <c r="I15" s="95">
        <f>+H15</f>
        <v>0</v>
      </c>
      <c r="J15" s="95">
        <v>0</v>
      </c>
      <c r="K15" s="95">
        <f>+J15</f>
        <v>0</v>
      </c>
    </row>
    <row r="16" spans="1:11" ht="12.75" customHeight="1" x14ac:dyDescent="0.2">
      <c r="A16" s="183" t="s">
        <v>423</v>
      </c>
      <c r="B16" s="183"/>
      <c r="C16" s="183"/>
      <c r="D16" s="183"/>
      <c r="E16" s="183"/>
      <c r="F16" s="183"/>
      <c r="G16" s="8">
        <v>9</v>
      </c>
      <c r="H16" s="94">
        <f>SUM(H17:H19)</f>
        <v>35740991.060000002</v>
      </c>
      <c r="I16" s="94">
        <f>SUM(I17:I19)</f>
        <v>35740991.060000002</v>
      </c>
      <c r="J16" s="94">
        <f>SUM(J17:J19)</f>
        <v>43567776.07</v>
      </c>
      <c r="K16" s="94">
        <f>SUM(K17:K19)</f>
        <v>43567776.07</v>
      </c>
    </row>
    <row r="17" spans="1:11" ht="12.75" customHeight="1" x14ac:dyDescent="0.2">
      <c r="A17" s="217" t="s">
        <v>119</v>
      </c>
      <c r="B17" s="217"/>
      <c r="C17" s="217"/>
      <c r="D17" s="217"/>
      <c r="E17" s="217"/>
      <c r="F17" s="217"/>
      <c r="G17" s="7">
        <v>10</v>
      </c>
      <c r="H17" s="95">
        <v>9932410.1500000004</v>
      </c>
      <c r="I17" s="95">
        <f>+H17</f>
        <v>9932410.1500000004</v>
      </c>
      <c r="J17" s="95">
        <v>12837563.76</v>
      </c>
      <c r="K17" s="95">
        <f>+J17</f>
        <v>12837563.76</v>
      </c>
    </row>
    <row r="18" spans="1:11" ht="12.75" customHeight="1" x14ac:dyDescent="0.2">
      <c r="A18" s="217" t="s">
        <v>120</v>
      </c>
      <c r="B18" s="217"/>
      <c r="C18" s="217"/>
      <c r="D18" s="217"/>
      <c r="E18" s="217"/>
      <c r="F18" s="217"/>
      <c r="G18" s="7">
        <v>11</v>
      </c>
      <c r="H18" s="95">
        <v>0</v>
      </c>
      <c r="I18" s="95">
        <f t="shared" ref="I18:I19" si="2">+H18</f>
        <v>0</v>
      </c>
      <c r="J18" s="95">
        <v>0</v>
      </c>
      <c r="K18" s="95">
        <f t="shared" ref="K18:K19" si="3">+J18</f>
        <v>0</v>
      </c>
    </row>
    <row r="19" spans="1:11" ht="12.75" customHeight="1" x14ac:dyDescent="0.2">
      <c r="A19" s="217" t="s">
        <v>121</v>
      </c>
      <c r="B19" s="217"/>
      <c r="C19" s="217"/>
      <c r="D19" s="217"/>
      <c r="E19" s="217"/>
      <c r="F19" s="217"/>
      <c r="G19" s="7">
        <v>12</v>
      </c>
      <c r="H19" s="95">
        <v>25808580.91</v>
      </c>
      <c r="I19" s="95">
        <f t="shared" si="2"/>
        <v>25808580.91</v>
      </c>
      <c r="J19" s="95">
        <v>30730212.309999999</v>
      </c>
      <c r="K19" s="95">
        <f t="shared" si="3"/>
        <v>30730212.309999999</v>
      </c>
    </row>
    <row r="20" spans="1:11" ht="12.75" customHeight="1" x14ac:dyDescent="0.2">
      <c r="A20" s="183" t="s">
        <v>424</v>
      </c>
      <c r="B20" s="183"/>
      <c r="C20" s="183"/>
      <c r="D20" s="183"/>
      <c r="E20" s="183"/>
      <c r="F20" s="183"/>
      <c r="G20" s="8">
        <v>13</v>
      </c>
      <c r="H20" s="94">
        <f>SUM(H21:H23)</f>
        <v>11633743.859999999</v>
      </c>
      <c r="I20" s="94">
        <f>SUM(I21:I23)</f>
        <v>11633743.859999999</v>
      </c>
      <c r="J20" s="94">
        <f>SUM(J21:J23)</f>
        <v>12849279.1</v>
      </c>
      <c r="K20" s="94">
        <f>SUM(K21:K23)</f>
        <v>12849279.1</v>
      </c>
    </row>
    <row r="21" spans="1:11" ht="12.75" customHeight="1" x14ac:dyDescent="0.2">
      <c r="A21" s="217" t="s">
        <v>105</v>
      </c>
      <c r="B21" s="217"/>
      <c r="C21" s="217"/>
      <c r="D21" s="217"/>
      <c r="E21" s="217"/>
      <c r="F21" s="217"/>
      <c r="G21" s="7">
        <v>14</v>
      </c>
      <c r="H21" s="95">
        <v>6492377.6100000003</v>
      </c>
      <c r="I21" s="95">
        <f>+H21</f>
        <v>6492377.6100000003</v>
      </c>
      <c r="J21" s="95">
        <v>7122678.3300000001</v>
      </c>
      <c r="K21" s="95">
        <f>+J21</f>
        <v>7122678.3300000001</v>
      </c>
    </row>
    <row r="22" spans="1:11" ht="12.75" customHeight="1" x14ac:dyDescent="0.2">
      <c r="A22" s="217" t="s">
        <v>106</v>
      </c>
      <c r="B22" s="217"/>
      <c r="C22" s="217"/>
      <c r="D22" s="217"/>
      <c r="E22" s="217"/>
      <c r="F22" s="217"/>
      <c r="G22" s="7">
        <v>15</v>
      </c>
      <c r="H22" s="95">
        <v>3024055.89</v>
      </c>
      <c r="I22" s="95">
        <f t="shared" ref="I22:I25" si="4">+H22</f>
        <v>3024055.89</v>
      </c>
      <c r="J22" s="95">
        <v>3385052.77</v>
      </c>
      <c r="K22" s="95">
        <f t="shared" ref="K22:K25" si="5">+J22</f>
        <v>3385052.77</v>
      </c>
    </row>
    <row r="23" spans="1:11" ht="12.75" customHeight="1" x14ac:dyDescent="0.2">
      <c r="A23" s="217" t="s">
        <v>107</v>
      </c>
      <c r="B23" s="217"/>
      <c r="C23" s="217"/>
      <c r="D23" s="217"/>
      <c r="E23" s="217"/>
      <c r="F23" s="217"/>
      <c r="G23" s="7">
        <v>16</v>
      </c>
      <c r="H23" s="95">
        <v>2117310.36</v>
      </c>
      <c r="I23" s="95">
        <f t="shared" si="4"/>
        <v>2117310.36</v>
      </c>
      <c r="J23" s="95">
        <v>2341548</v>
      </c>
      <c r="K23" s="95">
        <f t="shared" si="5"/>
        <v>2341548</v>
      </c>
    </row>
    <row r="24" spans="1:11" ht="12.75" customHeight="1" x14ac:dyDescent="0.2">
      <c r="A24" s="182" t="s">
        <v>108</v>
      </c>
      <c r="B24" s="182"/>
      <c r="C24" s="182"/>
      <c r="D24" s="182"/>
      <c r="E24" s="182"/>
      <c r="F24" s="182"/>
      <c r="G24" s="7">
        <v>17</v>
      </c>
      <c r="H24" s="95">
        <v>7814227.1600000001</v>
      </c>
      <c r="I24" s="95">
        <f t="shared" si="4"/>
        <v>7814227.1600000001</v>
      </c>
      <c r="J24" s="95">
        <v>9045846.7599999998</v>
      </c>
      <c r="K24" s="95">
        <f t="shared" si="5"/>
        <v>9045846.7599999998</v>
      </c>
    </row>
    <row r="25" spans="1:11" ht="12.75" customHeight="1" x14ac:dyDescent="0.2">
      <c r="A25" s="182" t="s">
        <v>109</v>
      </c>
      <c r="B25" s="182"/>
      <c r="C25" s="182"/>
      <c r="D25" s="182"/>
      <c r="E25" s="182"/>
      <c r="F25" s="182"/>
      <c r="G25" s="7">
        <v>18</v>
      </c>
      <c r="H25" s="95">
        <v>2595292.85</v>
      </c>
      <c r="I25" s="95">
        <f t="shared" si="4"/>
        <v>2595292.85</v>
      </c>
      <c r="J25" s="95">
        <v>3145114.24</v>
      </c>
      <c r="K25" s="95">
        <f t="shared" si="5"/>
        <v>3145114.24</v>
      </c>
    </row>
    <row r="26" spans="1:11" ht="12.75" customHeight="1" x14ac:dyDescent="0.2">
      <c r="A26" s="183" t="s">
        <v>425</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f>+H27</f>
        <v>0</v>
      </c>
      <c r="J27" s="95">
        <v>0</v>
      </c>
      <c r="K27" s="95">
        <f>+J27</f>
        <v>0</v>
      </c>
    </row>
    <row r="28" spans="1:11" ht="12.75" customHeight="1" x14ac:dyDescent="0.2">
      <c r="A28" s="217" t="s">
        <v>123</v>
      </c>
      <c r="B28" s="217"/>
      <c r="C28" s="217"/>
      <c r="D28" s="217"/>
      <c r="E28" s="217"/>
      <c r="F28" s="217"/>
      <c r="G28" s="7">
        <v>21</v>
      </c>
      <c r="H28" s="95">
        <v>0</v>
      </c>
      <c r="I28" s="95">
        <f>+H28</f>
        <v>0</v>
      </c>
      <c r="J28" s="95">
        <v>0</v>
      </c>
      <c r="K28" s="95">
        <f>+J28</f>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f>+H30</f>
        <v>0</v>
      </c>
      <c r="J30" s="95">
        <v>0</v>
      </c>
      <c r="K30" s="95">
        <f>+J30</f>
        <v>0</v>
      </c>
    </row>
    <row r="31" spans="1:11" ht="12.75" customHeight="1" x14ac:dyDescent="0.2">
      <c r="A31" s="217" t="s">
        <v>125</v>
      </c>
      <c r="B31" s="217"/>
      <c r="C31" s="217"/>
      <c r="D31" s="217"/>
      <c r="E31" s="217"/>
      <c r="F31" s="217"/>
      <c r="G31" s="7">
        <v>24</v>
      </c>
      <c r="H31" s="95">
        <v>0</v>
      </c>
      <c r="I31" s="95">
        <f t="shared" ref="I31:I36" si="6">+H31</f>
        <v>0</v>
      </c>
      <c r="J31" s="95">
        <v>0</v>
      </c>
      <c r="K31" s="95">
        <f t="shared" ref="K31:K36" si="7">+J31</f>
        <v>0</v>
      </c>
    </row>
    <row r="32" spans="1:11" ht="12.75" customHeight="1" x14ac:dyDescent="0.2">
      <c r="A32" s="217" t="s">
        <v>126</v>
      </c>
      <c r="B32" s="217"/>
      <c r="C32" s="217"/>
      <c r="D32" s="217"/>
      <c r="E32" s="217"/>
      <c r="F32" s="217"/>
      <c r="G32" s="7">
        <v>25</v>
      </c>
      <c r="H32" s="95">
        <v>0</v>
      </c>
      <c r="I32" s="95">
        <f t="shared" si="6"/>
        <v>0</v>
      </c>
      <c r="J32" s="95">
        <v>0</v>
      </c>
      <c r="K32" s="95">
        <f t="shared" si="7"/>
        <v>0</v>
      </c>
    </row>
    <row r="33" spans="1:11" ht="12.75" customHeight="1" x14ac:dyDescent="0.2">
      <c r="A33" s="217" t="s">
        <v>127</v>
      </c>
      <c r="B33" s="217"/>
      <c r="C33" s="217"/>
      <c r="D33" s="217"/>
      <c r="E33" s="217"/>
      <c r="F33" s="217"/>
      <c r="G33" s="7">
        <v>26</v>
      </c>
      <c r="H33" s="95">
        <v>0</v>
      </c>
      <c r="I33" s="95">
        <f t="shared" si="6"/>
        <v>0</v>
      </c>
      <c r="J33" s="95">
        <v>0</v>
      </c>
      <c r="K33" s="95">
        <f t="shared" si="7"/>
        <v>0</v>
      </c>
    </row>
    <row r="34" spans="1:11" ht="12.75" customHeight="1" x14ac:dyDescent="0.2">
      <c r="A34" s="217" t="s">
        <v>128</v>
      </c>
      <c r="B34" s="217"/>
      <c r="C34" s="217"/>
      <c r="D34" s="217"/>
      <c r="E34" s="217"/>
      <c r="F34" s="217"/>
      <c r="G34" s="7">
        <v>27</v>
      </c>
      <c r="H34" s="95">
        <v>0</v>
      </c>
      <c r="I34" s="95">
        <f t="shared" si="6"/>
        <v>0</v>
      </c>
      <c r="J34" s="95">
        <v>0</v>
      </c>
      <c r="K34" s="95">
        <f t="shared" si="7"/>
        <v>0</v>
      </c>
    </row>
    <row r="35" spans="1:11" ht="12.75" customHeight="1" x14ac:dyDescent="0.2">
      <c r="A35" s="217" t="s">
        <v>129</v>
      </c>
      <c r="B35" s="217"/>
      <c r="C35" s="217"/>
      <c r="D35" s="217"/>
      <c r="E35" s="217"/>
      <c r="F35" s="217"/>
      <c r="G35" s="7">
        <v>28</v>
      </c>
      <c r="H35" s="95">
        <v>0</v>
      </c>
      <c r="I35" s="95">
        <f t="shared" si="6"/>
        <v>0</v>
      </c>
      <c r="J35" s="95">
        <v>0</v>
      </c>
      <c r="K35" s="95">
        <f t="shared" si="7"/>
        <v>0</v>
      </c>
    </row>
    <row r="36" spans="1:11" ht="12.75" customHeight="1" x14ac:dyDescent="0.2">
      <c r="A36" s="182" t="s">
        <v>110</v>
      </c>
      <c r="B36" s="182"/>
      <c r="C36" s="182"/>
      <c r="D36" s="182"/>
      <c r="E36" s="182"/>
      <c r="F36" s="182"/>
      <c r="G36" s="7">
        <v>29</v>
      </c>
      <c r="H36" s="95">
        <v>484406.03</v>
      </c>
      <c r="I36" s="95">
        <f t="shared" si="6"/>
        <v>484406.03</v>
      </c>
      <c r="J36" s="95">
        <v>446997.76000000001</v>
      </c>
      <c r="K36" s="95">
        <f t="shared" si="7"/>
        <v>446997.76000000001</v>
      </c>
    </row>
    <row r="37" spans="1:11" ht="12.75" customHeight="1" x14ac:dyDescent="0.2">
      <c r="A37" s="216" t="s">
        <v>352</v>
      </c>
      <c r="B37" s="216"/>
      <c r="C37" s="216"/>
      <c r="D37" s="216"/>
      <c r="E37" s="216"/>
      <c r="F37" s="216"/>
      <c r="G37" s="8">
        <v>30</v>
      </c>
      <c r="H37" s="94">
        <f>SUM(H38:H47)</f>
        <v>4983353.2699999996</v>
      </c>
      <c r="I37" s="94">
        <f>SUM(I38:I47)</f>
        <v>4983353.2699999996</v>
      </c>
      <c r="J37" s="94">
        <f>SUM(J38:J47)</f>
        <v>3636746.15</v>
      </c>
      <c r="K37" s="94">
        <f>SUM(K38:K47)</f>
        <v>3636746.15</v>
      </c>
    </row>
    <row r="38" spans="1:11" ht="12.75" customHeight="1" x14ac:dyDescent="0.2">
      <c r="A38" s="182" t="s">
        <v>130</v>
      </c>
      <c r="B38" s="182"/>
      <c r="C38" s="182"/>
      <c r="D38" s="182"/>
      <c r="E38" s="182"/>
      <c r="F38" s="182"/>
      <c r="G38" s="7">
        <v>31</v>
      </c>
      <c r="H38" s="95">
        <v>0</v>
      </c>
      <c r="I38" s="95">
        <f>+H38</f>
        <v>0</v>
      </c>
      <c r="J38" s="95">
        <v>0</v>
      </c>
      <c r="K38" s="95">
        <f>+J38</f>
        <v>0</v>
      </c>
    </row>
    <row r="39" spans="1:11" ht="25.15" customHeight="1" x14ac:dyDescent="0.2">
      <c r="A39" s="182" t="s">
        <v>131</v>
      </c>
      <c r="B39" s="182"/>
      <c r="C39" s="182"/>
      <c r="D39" s="182"/>
      <c r="E39" s="182"/>
      <c r="F39" s="182"/>
      <c r="G39" s="7">
        <v>32</v>
      </c>
      <c r="H39" s="95">
        <v>0</v>
      </c>
      <c r="I39" s="95">
        <f t="shared" ref="I39:I47" si="8">+H39</f>
        <v>0</v>
      </c>
      <c r="J39" s="95">
        <v>0</v>
      </c>
      <c r="K39" s="95">
        <f t="shared" ref="K39:K47" si="9">+J39</f>
        <v>0</v>
      </c>
    </row>
    <row r="40" spans="1:11" ht="25.15" customHeight="1" x14ac:dyDescent="0.2">
      <c r="A40" s="182" t="s">
        <v>132</v>
      </c>
      <c r="B40" s="182"/>
      <c r="C40" s="182"/>
      <c r="D40" s="182"/>
      <c r="E40" s="182"/>
      <c r="F40" s="182"/>
      <c r="G40" s="7">
        <v>33</v>
      </c>
      <c r="H40" s="95">
        <v>0</v>
      </c>
      <c r="I40" s="95">
        <f t="shared" si="8"/>
        <v>0</v>
      </c>
      <c r="J40" s="95">
        <v>0</v>
      </c>
      <c r="K40" s="95">
        <f t="shared" si="9"/>
        <v>0</v>
      </c>
    </row>
    <row r="41" spans="1:11" ht="25.15" customHeight="1" x14ac:dyDescent="0.2">
      <c r="A41" s="182" t="s">
        <v>133</v>
      </c>
      <c r="B41" s="182"/>
      <c r="C41" s="182"/>
      <c r="D41" s="182"/>
      <c r="E41" s="182"/>
      <c r="F41" s="182"/>
      <c r="G41" s="7">
        <v>34</v>
      </c>
      <c r="H41" s="95">
        <v>1620</v>
      </c>
      <c r="I41" s="95">
        <f t="shared" si="8"/>
        <v>1620</v>
      </c>
      <c r="J41" s="95">
        <v>0</v>
      </c>
      <c r="K41" s="95">
        <f t="shared" si="9"/>
        <v>0</v>
      </c>
    </row>
    <row r="42" spans="1:11" ht="25.15" customHeight="1" x14ac:dyDescent="0.2">
      <c r="A42" s="182" t="s">
        <v>134</v>
      </c>
      <c r="B42" s="182"/>
      <c r="C42" s="182"/>
      <c r="D42" s="182"/>
      <c r="E42" s="182"/>
      <c r="F42" s="182"/>
      <c r="G42" s="7">
        <v>35</v>
      </c>
      <c r="H42" s="95">
        <v>0</v>
      </c>
      <c r="I42" s="95">
        <f t="shared" si="8"/>
        <v>0</v>
      </c>
      <c r="J42" s="95">
        <v>0</v>
      </c>
      <c r="K42" s="95">
        <f t="shared" si="9"/>
        <v>0</v>
      </c>
    </row>
    <row r="43" spans="1:11" ht="12.75" customHeight="1" x14ac:dyDescent="0.2">
      <c r="A43" s="182" t="s">
        <v>135</v>
      </c>
      <c r="B43" s="182"/>
      <c r="C43" s="182"/>
      <c r="D43" s="182"/>
      <c r="E43" s="182"/>
      <c r="F43" s="182"/>
      <c r="G43" s="7">
        <v>36</v>
      </c>
      <c r="H43" s="95">
        <v>0</v>
      </c>
      <c r="I43" s="95">
        <f t="shared" si="8"/>
        <v>0</v>
      </c>
      <c r="J43" s="95">
        <v>0</v>
      </c>
      <c r="K43" s="95">
        <f t="shared" si="9"/>
        <v>0</v>
      </c>
    </row>
    <row r="44" spans="1:11" ht="12.75" customHeight="1" x14ac:dyDescent="0.2">
      <c r="A44" s="182" t="s">
        <v>136</v>
      </c>
      <c r="B44" s="182"/>
      <c r="C44" s="182"/>
      <c r="D44" s="182"/>
      <c r="E44" s="182"/>
      <c r="F44" s="182"/>
      <c r="G44" s="7">
        <v>37</v>
      </c>
      <c r="H44" s="95">
        <v>239751.05</v>
      </c>
      <c r="I44" s="95">
        <f t="shared" si="8"/>
        <v>239751.05</v>
      </c>
      <c r="J44" s="95">
        <v>99897.3</v>
      </c>
      <c r="K44" s="95">
        <f t="shared" si="9"/>
        <v>99897.3</v>
      </c>
    </row>
    <row r="45" spans="1:11" ht="12.75" customHeight="1" x14ac:dyDescent="0.2">
      <c r="A45" s="182" t="s">
        <v>137</v>
      </c>
      <c r="B45" s="182"/>
      <c r="C45" s="182"/>
      <c r="D45" s="182"/>
      <c r="E45" s="182"/>
      <c r="F45" s="182"/>
      <c r="G45" s="7">
        <v>38</v>
      </c>
      <c r="H45" s="95">
        <v>4741982.22</v>
      </c>
      <c r="I45" s="95">
        <f t="shared" si="8"/>
        <v>4741982.22</v>
      </c>
      <c r="J45" s="95">
        <v>3536848.85</v>
      </c>
      <c r="K45" s="95">
        <f t="shared" si="9"/>
        <v>3536848.85</v>
      </c>
    </row>
    <row r="46" spans="1:11" ht="12.75" customHeight="1" x14ac:dyDescent="0.2">
      <c r="A46" s="182" t="s">
        <v>138</v>
      </c>
      <c r="B46" s="182"/>
      <c r="C46" s="182"/>
      <c r="D46" s="182"/>
      <c r="E46" s="182"/>
      <c r="F46" s="182"/>
      <c r="G46" s="7">
        <v>39</v>
      </c>
      <c r="H46" s="95">
        <v>0</v>
      </c>
      <c r="I46" s="95">
        <f t="shared" si="8"/>
        <v>0</v>
      </c>
      <c r="J46" s="95">
        <v>0</v>
      </c>
      <c r="K46" s="95">
        <f t="shared" si="9"/>
        <v>0</v>
      </c>
    </row>
    <row r="47" spans="1:11" ht="12.75" customHeight="1" x14ac:dyDescent="0.2">
      <c r="A47" s="182" t="s">
        <v>139</v>
      </c>
      <c r="B47" s="182"/>
      <c r="C47" s="182"/>
      <c r="D47" s="182"/>
      <c r="E47" s="182"/>
      <c r="F47" s="182"/>
      <c r="G47" s="7">
        <v>40</v>
      </c>
      <c r="H47" s="95">
        <v>0</v>
      </c>
      <c r="I47" s="95">
        <f t="shared" si="8"/>
        <v>0</v>
      </c>
      <c r="J47" s="95">
        <v>0</v>
      </c>
      <c r="K47" s="95">
        <f t="shared" si="9"/>
        <v>0</v>
      </c>
    </row>
    <row r="48" spans="1:11" ht="12.75" customHeight="1" x14ac:dyDescent="0.2">
      <c r="A48" s="216" t="s">
        <v>353</v>
      </c>
      <c r="B48" s="216"/>
      <c r="C48" s="216"/>
      <c r="D48" s="216"/>
      <c r="E48" s="216"/>
      <c r="F48" s="216"/>
      <c r="G48" s="8">
        <v>41</v>
      </c>
      <c r="H48" s="94">
        <f>SUM(H49:H55)</f>
        <v>5503462.5599999996</v>
      </c>
      <c r="I48" s="94">
        <f>SUM(I49:I55)</f>
        <v>5503462.5599999996</v>
      </c>
      <c r="J48" s="94">
        <f>SUM(J49:J55)</f>
        <v>11452452.48</v>
      </c>
      <c r="K48" s="94">
        <f>SUM(K49:K55)</f>
        <v>11452452.48</v>
      </c>
    </row>
    <row r="49" spans="1:11" ht="25.15" customHeight="1" x14ac:dyDescent="0.2">
      <c r="A49" s="182" t="s">
        <v>140</v>
      </c>
      <c r="B49" s="182"/>
      <c r="C49" s="182"/>
      <c r="D49" s="182"/>
      <c r="E49" s="182"/>
      <c r="F49" s="182"/>
      <c r="G49" s="7">
        <v>42</v>
      </c>
      <c r="H49" s="95">
        <v>674345.33</v>
      </c>
      <c r="I49" s="95">
        <f>+H49</f>
        <v>674345.33</v>
      </c>
      <c r="J49" s="95">
        <v>0</v>
      </c>
      <c r="K49" s="95">
        <f>+J49</f>
        <v>0</v>
      </c>
    </row>
    <row r="50" spans="1:11" ht="12.75" customHeight="1" x14ac:dyDescent="0.2">
      <c r="A50" s="220" t="s">
        <v>141</v>
      </c>
      <c r="B50" s="220"/>
      <c r="C50" s="220"/>
      <c r="D50" s="220"/>
      <c r="E50" s="220"/>
      <c r="F50" s="220"/>
      <c r="G50" s="7">
        <v>43</v>
      </c>
      <c r="H50" s="95">
        <v>0</v>
      </c>
      <c r="I50" s="95">
        <f t="shared" ref="I50:I59" si="10">+H50</f>
        <v>0</v>
      </c>
      <c r="J50" s="95">
        <v>0</v>
      </c>
      <c r="K50" s="95">
        <f t="shared" ref="K50:K59" si="11">+J50</f>
        <v>0</v>
      </c>
    </row>
    <row r="51" spans="1:11" ht="12.75" customHeight="1" x14ac:dyDescent="0.2">
      <c r="A51" s="220" t="s">
        <v>142</v>
      </c>
      <c r="B51" s="220"/>
      <c r="C51" s="220"/>
      <c r="D51" s="220"/>
      <c r="E51" s="220"/>
      <c r="F51" s="220"/>
      <c r="G51" s="7">
        <v>44</v>
      </c>
      <c r="H51" s="95">
        <v>1707934.58</v>
      </c>
      <c r="I51" s="95">
        <f t="shared" si="10"/>
        <v>1707934.58</v>
      </c>
      <c r="J51" s="95">
        <v>3341801.16</v>
      </c>
      <c r="K51" s="95">
        <f t="shared" si="11"/>
        <v>3341801.16</v>
      </c>
    </row>
    <row r="52" spans="1:11" ht="12.75" customHeight="1" x14ac:dyDescent="0.2">
      <c r="A52" s="220" t="s">
        <v>143</v>
      </c>
      <c r="B52" s="220"/>
      <c r="C52" s="220"/>
      <c r="D52" s="220"/>
      <c r="E52" s="220"/>
      <c r="F52" s="220"/>
      <c r="G52" s="7">
        <v>45</v>
      </c>
      <c r="H52" s="95">
        <v>3121182.65</v>
      </c>
      <c r="I52" s="95">
        <f t="shared" si="10"/>
        <v>3121182.65</v>
      </c>
      <c r="J52" s="95">
        <v>8110651.3200000003</v>
      </c>
      <c r="K52" s="95">
        <f t="shared" si="11"/>
        <v>8110651.3200000003</v>
      </c>
    </row>
    <row r="53" spans="1:11" ht="12.75" customHeight="1" x14ac:dyDescent="0.2">
      <c r="A53" s="220" t="s">
        <v>144</v>
      </c>
      <c r="B53" s="220"/>
      <c r="C53" s="220"/>
      <c r="D53" s="220"/>
      <c r="E53" s="220"/>
      <c r="F53" s="220"/>
      <c r="G53" s="7">
        <v>46</v>
      </c>
      <c r="H53" s="95">
        <v>0</v>
      </c>
      <c r="I53" s="95">
        <f t="shared" si="10"/>
        <v>0</v>
      </c>
      <c r="J53" s="95">
        <v>0</v>
      </c>
      <c r="K53" s="95">
        <f t="shared" si="11"/>
        <v>0</v>
      </c>
    </row>
    <row r="54" spans="1:11" ht="12.75" customHeight="1" x14ac:dyDescent="0.2">
      <c r="A54" s="220" t="s">
        <v>145</v>
      </c>
      <c r="B54" s="220"/>
      <c r="C54" s="220"/>
      <c r="D54" s="220"/>
      <c r="E54" s="220"/>
      <c r="F54" s="220"/>
      <c r="G54" s="7">
        <v>47</v>
      </c>
      <c r="H54" s="95">
        <v>0</v>
      </c>
      <c r="I54" s="95">
        <f t="shared" si="10"/>
        <v>0</v>
      </c>
      <c r="J54" s="95">
        <v>0</v>
      </c>
      <c r="K54" s="95">
        <f t="shared" si="11"/>
        <v>0</v>
      </c>
    </row>
    <row r="55" spans="1:11" ht="12.75" customHeight="1" x14ac:dyDescent="0.2">
      <c r="A55" s="220" t="s">
        <v>146</v>
      </c>
      <c r="B55" s="220"/>
      <c r="C55" s="220"/>
      <c r="D55" s="220"/>
      <c r="E55" s="220"/>
      <c r="F55" s="220"/>
      <c r="G55" s="7">
        <v>48</v>
      </c>
      <c r="H55" s="95">
        <v>0</v>
      </c>
      <c r="I55" s="95">
        <f t="shared" si="10"/>
        <v>0</v>
      </c>
      <c r="J55" s="95">
        <v>0</v>
      </c>
      <c r="K55" s="95">
        <f t="shared" si="11"/>
        <v>0</v>
      </c>
    </row>
    <row r="56" spans="1:11" ht="22.15" customHeight="1" x14ac:dyDescent="0.2">
      <c r="A56" s="222" t="s">
        <v>147</v>
      </c>
      <c r="B56" s="222"/>
      <c r="C56" s="222"/>
      <c r="D56" s="222"/>
      <c r="E56" s="222"/>
      <c r="F56" s="222"/>
      <c r="G56" s="7">
        <v>49</v>
      </c>
      <c r="H56" s="95">
        <v>0</v>
      </c>
      <c r="I56" s="95">
        <f t="shared" si="10"/>
        <v>0</v>
      </c>
      <c r="J56" s="95">
        <v>0</v>
      </c>
      <c r="K56" s="95">
        <f t="shared" si="11"/>
        <v>0</v>
      </c>
    </row>
    <row r="57" spans="1:11" ht="12.75" customHeight="1" x14ac:dyDescent="0.2">
      <c r="A57" s="222" t="s">
        <v>148</v>
      </c>
      <c r="B57" s="222"/>
      <c r="C57" s="222"/>
      <c r="D57" s="222"/>
      <c r="E57" s="222"/>
      <c r="F57" s="222"/>
      <c r="G57" s="7">
        <v>50</v>
      </c>
      <c r="H57" s="95">
        <v>0</v>
      </c>
      <c r="I57" s="95">
        <f t="shared" si="10"/>
        <v>0</v>
      </c>
      <c r="J57" s="95">
        <v>0</v>
      </c>
      <c r="K57" s="95">
        <f t="shared" si="11"/>
        <v>0</v>
      </c>
    </row>
    <row r="58" spans="1:11" ht="24.6" customHeight="1" x14ac:dyDescent="0.2">
      <c r="A58" s="222" t="s">
        <v>149</v>
      </c>
      <c r="B58" s="222"/>
      <c r="C58" s="222"/>
      <c r="D58" s="222"/>
      <c r="E58" s="222"/>
      <c r="F58" s="222"/>
      <c r="G58" s="7">
        <v>51</v>
      </c>
      <c r="H58" s="95">
        <v>0</v>
      </c>
      <c r="I58" s="95">
        <f t="shared" si="10"/>
        <v>0</v>
      </c>
      <c r="J58" s="95">
        <v>0</v>
      </c>
      <c r="K58" s="95">
        <f t="shared" si="11"/>
        <v>0</v>
      </c>
    </row>
    <row r="59" spans="1:11" ht="12.75" customHeight="1" x14ac:dyDescent="0.2">
      <c r="A59" s="222" t="s">
        <v>150</v>
      </c>
      <c r="B59" s="222"/>
      <c r="C59" s="222"/>
      <c r="D59" s="222"/>
      <c r="E59" s="222"/>
      <c r="F59" s="222"/>
      <c r="G59" s="7">
        <v>52</v>
      </c>
      <c r="H59" s="95">
        <v>0</v>
      </c>
      <c r="I59" s="95">
        <f t="shared" si="10"/>
        <v>0</v>
      </c>
      <c r="J59" s="95">
        <v>0</v>
      </c>
      <c r="K59" s="95">
        <f t="shared" si="11"/>
        <v>0</v>
      </c>
    </row>
    <row r="60" spans="1:11" ht="12.75" customHeight="1" x14ac:dyDescent="0.2">
      <c r="A60" s="216" t="s">
        <v>354</v>
      </c>
      <c r="B60" s="216"/>
      <c r="C60" s="216"/>
      <c r="D60" s="216"/>
      <c r="E60" s="216"/>
      <c r="F60" s="216"/>
      <c r="G60" s="8">
        <v>53</v>
      </c>
      <c r="H60" s="94">
        <f>H8+H37+H56+H57</f>
        <v>47883532.469999999</v>
      </c>
      <c r="I60" s="94">
        <f t="shared" ref="I60:K60" si="12">I8+I37+I56+I57</f>
        <v>47883532.469999999</v>
      </c>
      <c r="J60" s="94">
        <f t="shared" si="12"/>
        <v>50641632.119999997</v>
      </c>
      <c r="K60" s="94">
        <f t="shared" si="12"/>
        <v>50641632.119999997</v>
      </c>
    </row>
    <row r="61" spans="1:11" ht="12.75" customHeight="1" x14ac:dyDescent="0.2">
      <c r="A61" s="216" t="s">
        <v>355</v>
      </c>
      <c r="B61" s="216"/>
      <c r="C61" s="216"/>
      <c r="D61" s="216"/>
      <c r="E61" s="216"/>
      <c r="F61" s="216"/>
      <c r="G61" s="8">
        <v>54</v>
      </c>
      <c r="H61" s="94">
        <f>H14+H48+H58+H59</f>
        <v>63772123.520000003</v>
      </c>
      <c r="I61" s="94">
        <f t="shared" ref="I61:K61" si="13">I14+I48+I58+I59</f>
        <v>63772123.520000003</v>
      </c>
      <c r="J61" s="94">
        <f t="shared" si="13"/>
        <v>80507466.409999996</v>
      </c>
      <c r="K61" s="94">
        <f t="shared" si="13"/>
        <v>80507466.409999996</v>
      </c>
    </row>
    <row r="62" spans="1:11" ht="12.75" customHeight="1" x14ac:dyDescent="0.2">
      <c r="A62" s="216" t="s">
        <v>356</v>
      </c>
      <c r="B62" s="216"/>
      <c r="C62" s="216"/>
      <c r="D62" s="216"/>
      <c r="E62" s="216"/>
      <c r="F62" s="216"/>
      <c r="G62" s="8">
        <v>55</v>
      </c>
      <c r="H62" s="94">
        <f>H60-H61</f>
        <v>-15888591.050000001</v>
      </c>
      <c r="I62" s="94">
        <f t="shared" ref="I62:K62" si="14">I60-I61</f>
        <v>-15888591.050000001</v>
      </c>
      <c r="J62" s="94">
        <f t="shared" si="14"/>
        <v>-29865834.289999999</v>
      </c>
      <c r="K62" s="94">
        <f t="shared" si="14"/>
        <v>-29865834.289999999</v>
      </c>
    </row>
    <row r="63" spans="1:11" ht="12.75" customHeight="1" x14ac:dyDescent="0.2">
      <c r="A63" s="221" t="s">
        <v>357</v>
      </c>
      <c r="B63" s="221"/>
      <c r="C63" s="221"/>
      <c r="D63" s="221"/>
      <c r="E63" s="221"/>
      <c r="F63" s="221"/>
      <c r="G63" s="8">
        <v>56</v>
      </c>
      <c r="H63" s="94">
        <f>+IF((H60-H61)&gt;0,(H60-H61),0)</f>
        <v>0</v>
      </c>
      <c r="I63" s="94">
        <f t="shared" ref="I63:K63" si="15">+IF((I60-I61)&gt;0,(I60-I61),0)</f>
        <v>0</v>
      </c>
      <c r="J63" s="94">
        <f t="shared" si="15"/>
        <v>0</v>
      </c>
      <c r="K63" s="94">
        <f t="shared" si="15"/>
        <v>0</v>
      </c>
    </row>
    <row r="64" spans="1:11" ht="12.75" customHeight="1" x14ac:dyDescent="0.2">
      <c r="A64" s="221" t="s">
        <v>358</v>
      </c>
      <c r="B64" s="221"/>
      <c r="C64" s="221"/>
      <c r="D64" s="221"/>
      <c r="E64" s="221"/>
      <c r="F64" s="221"/>
      <c r="G64" s="8">
        <v>57</v>
      </c>
      <c r="H64" s="94">
        <f>+IF((H60-H61)&lt;0,(H60-H61),0)</f>
        <v>-15888591.050000001</v>
      </c>
      <c r="I64" s="94">
        <f t="shared" ref="I64:K64" si="16">+IF((I60-I61)&lt;0,(I60-I61),0)</f>
        <v>-15888591.050000001</v>
      </c>
      <c r="J64" s="94">
        <f t="shared" si="16"/>
        <v>-29865834.289999999</v>
      </c>
      <c r="K64" s="94">
        <f t="shared" si="16"/>
        <v>-29865834.289999999</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359</v>
      </c>
      <c r="B66" s="216"/>
      <c r="C66" s="216"/>
      <c r="D66" s="216"/>
      <c r="E66" s="216"/>
      <c r="F66" s="216"/>
      <c r="G66" s="8">
        <v>59</v>
      </c>
      <c r="H66" s="94">
        <f>H62-H65</f>
        <v>-15888591.050000001</v>
      </c>
      <c r="I66" s="94">
        <f t="shared" ref="I66:K66" si="17">I62-I65</f>
        <v>-15888591.050000001</v>
      </c>
      <c r="J66" s="94">
        <f t="shared" si="17"/>
        <v>-29865834.289999999</v>
      </c>
      <c r="K66" s="94">
        <f t="shared" si="17"/>
        <v>-29865834.289999999</v>
      </c>
    </row>
    <row r="67" spans="1:11" ht="12.75" customHeight="1" x14ac:dyDescent="0.2">
      <c r="A67" s="221" t="s">
        <v>360</v>
      </c>
      <c r="B67" s="221"/>
      <c r="C67" s="221"/>
      <c r="D67" s="221"/>
      <c r="E67" s="221"/>
      <c r="F67" s="221"/>
      <c r="G67" s="8">
        <v>60</v>
      </c>
      <c r="H67" s="94">
        <f>+IF((H62-H65)&gt;0,(H62-H65),0)</f>
        <v>0</v>
      </c>
      <c r="I67" s="94">
        <f t="shared" ref="I67:K67" si="18">+IF((I62-I65)&gt;0,(I62-I65),0)</f>
        <v>0</v>
      </c>
      <c r="J67" s="94">
        <f t="shared" si="18"/>
        <v>0</v>
      </c>
      <c r="K67" s="94">
        <f t="shared" si="18"/>
        <v>0</v>
      </c>
    </row>
    <row r="68" spans="1:11" ht="12.75" customHeight="1" x14ac:dyDescent="0.2">
      <c r="A68" s="221" t="s">
        <v>361</v>
      </c>
      <c r="B68" s="221"/>
      <c r="C68" s="221"/>
      <c r="D68" s="221"/>
      <c r="E68" s="221"/>
      <c r="F68" s="221"/>
      <c r="G68" s="8">
        <v>61</v>
      </c>
      <c r="H68" s="94">
        <f>+IF((H62-H65)&lt;0,(H62-H65),0)</f>
        <v>-15888591.050000001</v>
      </c>
      <c r="I68" s="94">
        <f t="shared" ref="I68:K68" si="19">+IF((I62-I65)&lt;0,(I62-I65),0)</f>
        <v>-15888591.050000001</v>
      </c>
      <c r="J68" s="94">
        <f t="shared" si="19"/>
        <v>-29865834.289999999</v>
      </c>
      <c r="K68" s="94">
        <f t="shared" si="19"/>
        <v>-29865834.289999999</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f>+H71</f>
        <v>0</v>
      </c>
      <c r="J71" s="95">
        <v>0</v>
      </c>
      <c r="K71" s="95">
        <f>+J71</f>
        <v>0</v>
      </c>
    </row>
    <row r="72" spans="1:11" ht="12.75" customHeight="1" x14ac:dyDescent="0.2">
      <c r="A72" s="220" t="s">
        <v>153</v>
      </c>
      <c r="B72" s="220"/>
      <c r="C72" s="220"/>
      <c r="D72" s="220"/>
      <c r="E72" s="220"/>
      <c r="F72" s="220"/>
      <c r="G72" s="7">
        <v>64</v>
      </c>
      <c r="H72" s="95">
        <v>0</v>
      </c>
      <c r="I72" s="95">
        <f t="shared" ref="I72:I73" si="20">+H72</f>
        <v>0</v>
      </c>
      <c r="J72" s="95">
        <v>0</v>
      </c>
      <c r="K72" s="95">
        <f t="shared" ref="K72:K73" si="21">+J72</f>
        <v>0</v>
      </c>
    </row>
    <row r="73" spans="1:11" ht="12.75" customHeight="1" x14ac:dyDescent="0.2">
      <c r="A73" s="222" t="s">
        <v>154</v>
      </c>
      <c r="B73" s="222"/>
      <c r="C73" s="222"/>
      <c r="D73" s="222"/>
      <c r="E73" s="222"/>
      <c r="F73" s="222"/>
      <c r="G73" s="7">
        <v>65</v>
      </c>
      <c r="H73" s="95">
        <v>0</v>
      </c>
      <c r="I73" s="95">
        <f t="shared" si="20"/>
        <v>0</v>
      </c>
      <c r="J73" s="95">
        <v>0</v>
      </c>
      <c r="K73" s="95">
        <f t="shared" si="21"/>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f>+H78</f>
        <v>0</v>
      </c>
      <c r="J78" s="97">
        <v>0</v>
      </c>
      <c r="K78" s="97">
        <f>+J78</f>
        <v>0</v>
      </c>
    </row>
    <row r="79" spans="1:11" ht="12.75" customHeight="1" x14ac:dyDescent="0.2">
      <c r="A79" s="226" t="s">
        <v>367</v>
      </c>
      <c r="B79" s="226"/>
      <c r="C79" s="226"/>
      <c r="D79" s="226"/>
      <c r="E79" s="226"/>
      <c r="F79" s="226"/>
      <c r="G79" s="20">
        <v>70</v>
      </c>
      <c r="H79" s="97">
        <v>0</v>
      </c>
      <c r="I79" s="97">
        <f>+H79</f>
        <v>0</v>
      </c>
      <c r="J79" s="97">
        <v>0</v>
      </c>
      <c r="K79" s="97">
        <f>+J79</f>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f>+H86</f>
        <v>0</v>
      </c>
      <c r="J86" s="99">
        <v>0</v>
      </c>
      <c r="K86" s="99">
        <f>+J86</f>
        <v>0</v>
      </c>
    </row>
    <row r="87" spans="1:11" ht="12.75" customHeight="1" x14ac:dyDescent="0.2">
      <c r="A87" s="228" t="s">
        <v>157</v>
      </c>
      <c r="B87" s="228"/>
      <c r="C87" s="228"/>
      <c r="D87" s="228"/>
      <c r="E87" s="228"/>
      <c r="F87" s="228"/>
      <c r="G87" s="7">
        <v>77</v>
      </c>
      <c r="H87" s="99">
        <v>0</v>
      </c>
      <c r="I87" s="99">
        <f>+H87</f>
        <v>0</v>
      </c>
      <c r="J87" s="99">
        <v>0</v>
      </c>
      <c r="K87" s="99">
        <f>+J87</f>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-15888591.050000001</v>
      </c>
      <c r="I89" s="99">
        <f>+H89</f>
        <v>-15888591.050000001</v>
      </c>
      <c r="J89" s="99">
        <v>-29865834.289999999</v>
      </c>
      <c r="K89" s="99">
        <f>+J89</f>
        <v>-29865834.289999999</v>
      </c>
    </row>
    <row r="90" spans="1:11" ht="24" customHeight="1" x14ac:dyDescent="0.2">
      <c r="A90" s="184" t="s">
        <v>420</v>
      </c>
      <c r="B90" s="184"/>
      <c r="C90" s="184"/>
      <c r="D90" s="184"/>
      <c r="E90" s="184"/>
      <c r="F90" s="184"/>
      <c r="G90" s="8">
        <v>79</v>
      </c>
      <c r="H90" s="100">
        <f>H91+H98</f>
        <v>0</v>
      </c>
      <c r="I90" s="100">
        <f>I91+I98</f>
        <v>0</v>
      </c>
      <c r="J90" s="100">
        <f t="shared" ref="J90:K90" si="22">J91+J98</f>
        <v>0</v>
      </c>
      <c r="K90" s="100">
        <f t="shared" si="22"/>
        <v>0</v>
      </c>
    </row>
    <row r="91" spans="1:11" ht="24" customHeight="1" x14ac:dyDescent="0.2">
      <c r="A91" s="231" t="s">
        <v>427</v>
      </c>
      <c r="B91" s="231"/>
      <c r="C91" s="231"/>
      <c r="D91" s="231"/>
      <c r="E91" s="231"/>
      <c r="F91" s="231"/>
      <c r="G91" s="8">
        <v>80</v>
      </c>
      <c r="H91" s="100">
        <f>SUM(H92:H96)</f>
        <v>0</v>
      </c>
      <c r="I91" s="100">
        <f>SUM(I92:I96)</f>
        <v>0</v>
      </c>
      <c r="J91" s="100">
        <f t="shared" ref="J91:K91" si="23">SUM(J92:J96)</f>
        <v>0</v>
      </c>
      <c r="K91" s="100">
        <f t="shared" si="23"/>
        <v>0</v>
      </c>
    </row>
    <row r="92" spans="1:11" ht="25.5" customHeight="1" x14ac:dyDescent="0.2">
      <c r="A92" s="220" t="s">
        <v>373</v>
      </c>
      <c r="B92" s="220"/>
      <c r="C92" s="220"/>
      <c r="D92" s="220"/>
      <c r="E92" s="220"/>
      <c r="F92" s="220"/>
      <c r="G92" s="7">
        <v>81</v>
      </c>
      <c r="H92" s="99">
        <v>0</v>
      </c>
      <c r="I92" s="99">
        <f>+H92</f>
        <v>0</v>
      </c>
      <c r="J92" s="99">
        <v>0</v>
      </c>
      <c r="K92" s="99">
        <f>+J92</f>
        <v>0</v>
      </c>
    </row>
    <row r="93" spans="1:11" ht="38.25" customHeight="1" x14ac:dyDescent="0.2">
      <c r="A93" s="220" t="s">
        <v>374</v>
      </c>
      <c r="B93" s="220"/>
      <c r="C93" s="220"/>
      <c r="D93" s="220"/>
      <c r="E93" s="220"/>
      <c r="F93" s="220"/>
      <c r="G93" s="7">
        <v>82</v>
      </c>
      <c r="H93" s="99">
        <v>0</v>
      </c>
      <c r="I93" s="99">
        <f t="shared" ref="I93:I97" si="24">+H93</f>
        <v>0</v>
      </c>
      <c r="J93" s="99">
        <v>0</v>
      </c>
      <c r="K93" s="99">
        <f t="shared" ref="K93:K97" si="25">+J93</f>
        <v>0</v>
      </c>
    </row>
    <row r="94" spans="1:11" ht="38.25" customHeight="1" x14ac:dyDescent="0.2">
      <c r="A94" s="220" t="s">
        <v>375</v>
      </c>
      <c r="B94" s="220"/>
      <c r="C94" s="220"/>
      <c r="D94" s="220"/>
      <c r="E94" s="220"/>
      <c r="F94" s="220"/>
      <c r="G94" s="7">
        <v>83</v>
      </c>
      <c r="H94" s="99">
        <v>0</v>
      </c>
      <c r="I94" s="99">
        <f t="shared" si="24"/>
        <v>0</v>
      </c>
      <c r="J94" s="99">
        <v>0</v>
      </c>
      <c r="K94" s="99">
        <f t="shared" si="25"/>
        <v>0</v>
      </c>
    </row>
    <row r="95" spans="1:11" x14ac:dyDescent="0.2">
      <c r="A95" s="220" t="s">
        <v>376</v>
      </c>
      <c r="B95" s="220"/>
      <c r="C95" s="220"/>
      <c r="D95" s="220"/>
      <c r="E95" s="220"/>
      <c r="F95" s="220"/>
      <c r="G95" s="7">
        <v>84</v>
      </c>
      <c r="H95" s="99">
        <v>0</v>
      </c>
      <c r="I95" s="99">
        <f t="shared" si="24"/>
        <v>0</v>
      </c>
      <c r="J95" s="99">
        <v>0</v>
      </c>
      <c r="K95" s="99">
        <f t="shared" si="25"/>
        <v>0</v>
      </c>
    </row>
    <row r="96" spans="1:11" x14ac:dyDescent="0.2">
      <c r="A96" s="220" t="s">
        <v>377</v>
      </c>
      <c r="B96" s="220"/>
      <c r="C96" s="220"/>
      <c r="D96" s="220"/>
      <c r="E96" s="220"/>
      <c r="F96" s="220"/>
      <c r="G96" s="7">
        <v>85</v>
      </c>
      <c r="H96" s="99">
        <v>0</v>
      </c>
      <c r="I96" s="99">
        <f t="shared" si="24"/>
        <v>0</v>
      </c>
      <c r="J96" s="99">
        <v>0</v>
      </c>
      <c r="K96" s="99">
        <f t="shared" si="25"/>
        <v>0</v>
      </c>
    </row>
    <row r="97" spans="1:11" ht="26.25" customHeight="1" x14ac:dyDescent="0.2">
      <c r="A97" s="220" t="s">
        <v>378</v>
      </c>
      <c r="B97" s="220"/>
      <c r="C97" s="220"/>
      <c r="D97" s="220"/>
      <c r="E97" s="220"/>
      <c r="F97" s="220"/>
      <c r="G97" s="7">
        <v>86</v>
      </c>
      <c r="H97" s="99">
        <v>1449625</v>
      </c>
      <c r="I97" s="99">
        <f t="shared" si="24"/>
        <v>1449625</v>
      </c>
      <c r="J97" s="99">
        <v>0</v>
      </c>
      <c r="K97" s="99">
        <f t="shared" si="25"/>
        <v>0</v>
      </c>
    </row>
    <row r="98" spans="1:11" ht="25.5" customHeight="1" x14ac:dyDescent="0.2">
      <c r="A98" s="231" t="s">
        <v>421</v>
      </c>
      <c r="B98" s="231"/>
      <c r="C98" s="231"/>
      <c r="D98" s="231"/>
      <c r="E98" s="231"/>
      <c r="F98" s="231"/>
      <c r="G98" s="8">
        <v>87</v>
      </c>
      <c r="H98" s="100">
        <f>SUM(H99:H108)</f>
        <v>0</v>
      </c>
      <c r="I98" s="100">
        <f t="shared" ref="I98:J98" si="26">SUM(I99:I108)</f>
        <v>0</v>
      </c>
      <c r="J98" s="100">
        <f t="shared" si="26"/>
        <v>0</v>
      </c>
      <c r="K98" s="100">
        <f>SUM(K99:K108)</f>
        <v>0</v>
      </c>
    </row>
    <row r="99" spans="1:11" x14ac:dyDescent="0.2">
      <c r="A99" s="232" t="s">
        <v>159</v>
      </c>
      <c r="B99" s="232"/>
      <c r="C99" s="232"/>
      <c r="D99" s="232"/>
      <c r="E99" s="232"/>
      <c r="F99" s="232"/>
      <c r="G99" s="7">
        <v>88</v>
      </c>
      <c r="H99" s="99">
        <v>0</v>
      </c>
      <c r="I99" s="99">
        <f>+H99</f>
        <v>0</v>
      </c>
      <c r="J99" s="99">
        <v>0</v>
      </c>
      <c r="K99" s="99">
        <f>+J99</f>
        <v>0</v>
      </c>
    </row>
    <row r="100" spans="1:11" x14ac:dyDescent="0.2">
      <c r="A100" s="232" t="s">
        <v>445</v>
      </c>
      <c r="B100" s="232"/>
      <c r="C100" s="232"/>
      <c r="D100" s="232"/>
      <c r="E100" s="232"/>
      <c r="F100" s="232"/>
      <c r="G100" s="7">
        <v>89</v>
      </c>
      <c r="H100" s="99">
        <v>0</v>
      </c>
      <c r="I100" s="99">
        <f t="shared" ref="I100:I108" si="27">+H100</f>
        <v>0</v>
      </c>
      <c r="J100" s="99">
        <v>0</v>
      </c>
      <c r="K100" s="99">
        <f t="shared" ref="K100:K108" si="28">+J100</f>
        <v>0</v>
      </c>
    </row>
    <row r="101" spans="1:11" ht="36" customHeight="1" x14ac:dyDescent="0.2">
      <c r="A101" s="220" t="s">
        <v>446</v>
      </c>
      <c r="B101" s="220"/>
      <c r="C101" s="220"/>
      <c r="D101" s="220"/>
      <c r="E101" s="220"/>
      <c r="F101" s="220"/>
      <c r="G101" s="7">
        <v>90</v>
      </c>
      <c r="H101" s="99">
        <v>0</v>
      </c>
      <c r="I101" s="99">
        <f t="shared" si="27"/>
        <v>0</v>
      </c>
      <c r="J101" s="99">
        <v>0</v>
      </c>
      <c r="K101" s="99">
        <f t="shared" si="28"/>
        <v>0</v>
      </c>
    </row>
    <row r="102" spans="1:11" ht="22.15" customHeight="1" x14ac:dyDescent="0.2">
      <c r="A102" s="232" t="s">
        <v>160</v>
      </c>
      <c r="B102" s="232"/>
      <c r="C102" s="232"/>
      <c r="D102" s="232"/>
      <c r="E102" s="232"/>
      <c r="F102" s="232"/>
      <c r="G102" s="7">
        <v>91</v>
      </c>
      <c r="H102" s="99">
        <v>0</v>
      </c>
      <c r="I102" s="99">
        <f t="shared" si="27"/>
        <v>0</v>
      </c>
      <c r="J102" s="99">
        <v>0</v>
      </c>
      <c r="K102" s="99">
        <f t="shared" si="28"/>
        <v>0</v>
      </c>
    </row>
    <row r="103" spans="1:11" ht="22.15" customHeight="1" x14ac:dyDescent="0.2">
      <c r="A103" s="232" t="s">
        <v>161</v>
      </c>
      <c r="B103" s="232"/>
      <c r="C103" s="232"/>
      <c r="D103" s="232"/>
      <c r="E103" s="232"/>
      <c r="F103" s="232"/>
      <c r="G103" s="7">
        <v>92</v>
      </c>
      <c r="H103" s="99">
        <v>0</v>
      </c>
      <c r="I103" s="99">
        <f t="shared" si="27"/>
        <v>0</v>
      </c>
      <c r="J103" s="99">
        <v>0</v>
      </c>
      <c r="K103" s="99">
        <f t="shared" si="28"/>
        <v>0</v>
      </c>
    </row>
    <row r="104" spans="1:11" ht="22.15" customHeight="1" x14ac:dyDescent="0.2">
      <c r="A104" s="232" t="s">
        <v>162</v>
      </c>
      <c r="B104" s="232"/>
      <c r="C104" s="232"/>
      <c r="D104" s="232"/>
      <c r="E104" s="232"/>
      <c r="F104" s="232"/>
      <c r="G104" s="7">
        <v>93</v>
      </c>
      <c r="H104" s="99">
        <v>0</v>
      </c>
      <c r="I104" s="99">
        <f t="shared" si="27"/>
        <v>0</v>
      </c>
      <c r="J104" s="99">
        <v>0</v>
      </c>
      <c r="K104" s="99">
        <f t="shared" si="28"/>
        <v>0</v>
      </c>
    </row>
    <row r="105" spans="1:11" ht="12.75" customHeight="1" x14ac:dyDescent="0.2">
      <c r="A105" s="220" t="s">
        <v>447</v>
      </c>
      <c r="B105" s="220"/>
      <c r="C105" s="220"/>
      <c r="D105" s="220"/>
      <c r="E105" s="220"/>
      <c r="F105" s="220"/>
      <c r="G105" s="7">
        <v>94</v>
      </c>
      <c r="H105" s="99">
        <v>0</v>
      </c>
      <c r="I105" s="99">
        <f t="shared" si="27"/>
        <v>0</v>
      </c>
      <c r="J105" s="99">
        <v>0</v>
      </c>
      <c r="K105" s="99">
        <f t="shared" si="28"/>
        <v>0</v>
      </c>
    </row>
    <row r="106" spans="1:11" ht="26.25" customHeight="1" x14ac:dyDescent="0.2">
      <c r="A106" s="220" t="s">
        <v>448</v>
      </c>
      <c r="B106" s="220"/>
      <c r="C106" s="220"/>
      <c r="D106" s="220"/>
      <c r="E106" s="220"/>
      <c r="F106" s="220"/>
      <c r="G106" s="7">
        <v>95</v>
      </c>
      <c r="H106" s="99">
        <v>0</v>
      </c>
      <c r="I106" s="99">
        <f t="shared" si="27"/>
        <v>0</v>
      </c>
      <c r="J106" s="99">
        <v>0</v>
      </c>
      <c r="K106" s="99">
        <f t="shared" si="28"/>
        <v>0</v>
      </c>
    </row>
    <row r="107" spans="1:11" x14ac:dyDescent="0.2">
      <c r="A107" s="220" t="s">
        <v>449</v>
      </c>
      <c r="B107" s="220"/>
      <c r="C107" s="220"/>
      <c r="D107" s="220"/>
      <c r="E107" s="220"/>
      <c r="F107" s="220"/>
      <c r="G107" s="7">
        <v>96</v>
      </c>
      <c r="H107" s="99">
        <v>0</v>
      </c>
      <c r="I107" s="99">
        <f t="shared" si="27"/>
        <v>0</v>
      </c>
      <c r="J107" s="99">
        <v>0</v>
      </c>
      <c r="K107" s="99">
        <f t="shared" si="28"/>
        <v>0</v>
      </c>
    </row>
    <row r="108" spans="1:11" ht="24.75" customHeight="1" x14ac:dyDescent="0.2">
      <c r="A108" s="220" t="s">
        <v>450</v>
      </c>
      <c r="B108" s="220"/>
      <c r="C108" s="220"/>
      <c r="D108" s="220"/>
      <c r="E108" s="220"/>
      <c r="F108" s="220"/>
      <c r="G108" s="7">
        <v>97</v>
      </c>
      <c r="H108" s="99">
        <v>0</v>
      </c>
      <c r="I108" s="99">
        <f t="shared" si="27"/>
        <v>0</v>
      </c>
      <c r="J108" s="99">
        <v>0</v>
      </c>
      <c r="K108" s="99">
        <f t="shared" si="28"/>
        <v>0</v>
      </c>
    </row>
    <row r="109" spans="1:11" ht="22.9" customHeight="1" x14ac:dyDescent="0.2">
      <c r="A109" s="184" t="s">
        <v>422</v>
      </c>
      <c r="B109" s="184"/>
      <c r="C109" s="184"/>
      <c r="D109" s="184"/>
      <c r="E109" s="184"/>
      <c r="F109" s="184"/>
      <c r="G109" s="8">
        <v>98</v>
      </c>
      <c r="H109" s="100">
        <f>H91+H98-H108-H97</f>
        <v>-1449625</v>
      </c>
      <c r="I109" s="100">
        <f>I91+I98-I108-I97</f>
        <v>-1449625</v>
      </c>
      <c r="J109" s="100">
        <f>J91+J98-J108-J97</f>
        <v>0</v>
      </c>
      <c r="K109" s="100">
        <f>K91+K98-K108-K97</f>
        <v>0</v>
      </c>
    </row>
    <row r="110" spans="1:11" ht="12.75" customHeight="1" x14ac:dyDescent="0.2">
      <c r="A110" s="184" t="s">
        <v>379</v>
      </c>
      <c r="B110" s="184"/>
      <c r="C110" s="184"/>
      <c r="D110" s="184"/>
      <c r="E110" s="184"/>
      <c r="F110" s="184"/>
      <c r="G110" s="8">
        <v>99</v>
      </c>
      <c r="H110" s="98">
        <f>H89+H109</f>
        <v>-17338216.050000001</v>
      </c>
      <c r="I110" s="98">
        <f>I89+I109</f>
        <v>-17338216.050000001</v>
      </c>
      <c r="J110" s="98">
        <f t="shared" ref="J110:K110" si="29">J89+J109</f>
        <v>-29865834.289999999</v>
      </c>
      <c r="K110" s="98">
        <f t="shared" si="29"/>
        <v>-29865834.289999999</v>
      </c>
    </row>
    <row r="111" spans="1:11" x14ac:dyDescent="0.2">
      <c r="A111" s="223" t="s">
        <v>163</v>
      </c>
      <c r="B111" s="223"/>
      <c r="C111" s="223"/>
      <c r="D111" s="223"/>
      <c r="E111" s="223"/>
      <c r="F111" s="223"/>
      <c r="G111" s="224"/>
      <c r="H111" s="224"/>
      <c r="I111" s="224"/>
      <c r="J111" s="225"/>
      <c r="K111" s="225"/>
    </row>
    <row r="112" spans="1:11" ht="12.75" customHeight="1" x14ac:dyDescent="0.2">
      <c r="A112" s="227" t="s">
        <v>380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f>+H113</f>
        <v>0</v>
      </c>
      <c r="J113" s="99">
        <v>0</v>
      </c>
      <c r="K113" s="99">
        <v>0</v>
      </c>
    </row>
    <row r="114" spans="1:11" ht="12.75" customHeight="1" x14ac:dyDescent="0.2">
      <c r="A114" s="228" t="s">
        <v>164</v>
      </c>
      <c r="B114" s="228"/>
      <c r="C114" s="228"/>
      <c r="D114" s="228"/>
      <c r="E114" s="228"/>
      <c r="F114" s="228"/>
      <c r="G114" s="7">
        <v>102</v>
      </c>
      <c r="H114" s="99">
        <v>0</v>
      </c>
      <c r="I114" s="99">
        <f>+H114</f>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2" zoomScaleNormal="100" zoomScaleSheetLayoutView="85" workbookViewId="0">
      <selection activeCell="I59" sqref="I5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470</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468</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-15888591</v>
      </c>
      <c r="I8" s="101">
        <v>-29865834.289999999</v>
      </c>
    </row>
    <row r="9" spans="1:9" ht="12.75" customHeight="1" x14ac:dyDescent="0.2">
      <c r="A9" s="240" t="s">
        <v>170</v>
      </c>
      <c r="B9" s="240"/>
      <c r="C9" s="240"/>
      <c r="D9" s="240"/>
      <c r="E9" s="240"/>
      <c r="F9" s="240"/>
      <c r="G9" s="32">
        <v>2</v>
      </c>
      <c r="H9" s="102">
        <f>H10+H11+H12+H13+H14+H15+H16+H17</f>
        <v>10767032</v>
      </c>
      <c r="I9" s="102">
        <f>I10+I11+I12+I13+I14+I15+I16+I17</f>
        <v>14929341.58</v>
      </c>
    </row>
    <row r="10" spans="1:9" ht="12.75" customHeight="1" x14ac:dyDescent="0.2">
      <c r="A10" s="217" t="s">
        <v>171</v>
      </c>
      <c r="B10" s="217"/>
      <c r="C10" s="217"/>
      <c r="D10" s="217"/>
      <c r="E10" s="217"/>
      <c r="F10" s="217"/>
      <c r="G10" s="31">
        <v>3</v>
      </c>
      <c r="H10" s="101">
        <v>7814227</v>
      </c>
      <c r="I10" s="101">
        <v>9045846.7599999998</v>
      </c>
    </row>
    <row r="11" spans="1:9" ht="22.15" customHeight="1" x14ac:dyDescent="0.2">
      <c r="A11" s="217" t="s">
        <v>172</v>
      </c>
      <c r="B11" s="217"/>
      <c r="C11" s="217"/>
      <c r="D11" s="217"/>
      <c r="E11" s="217"/>
      <c r="F11" s="217"/>
      <c r="G11" s="31">
        <v>4</v>
      </c>
      <c r="H11" s="101">
        <v>-1749</v>
      </c>
      <c r="I11" s="101">
        <v>-836.18</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-241371</v>
      </c>
      <c r="I13" s="101">
        <v>-99897.3</v>
      </c>
    </row>
    <row r="14" spans="1:9" ht="12.75" customHeight="1" x14ac:dyDescent="0.2">
      <c r="A14" s="217" t="s">
        <v>175</v>
      </c>
      <c r="B14" s="217"/>
      <c r="C14" s="217"/>
      <c r="D14" s="217"/>
      <c r="E14" s="217"/>
      <c r="F14" s="217"/>
      <c r="G14" s="31">
        <v>7</v>
      </c>
      <c r="H14" s="101">
        <v>2382280</v>
      </c>
      <c r="I14" s="101">
        <v>3341801.16</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-2417240</v>
      </c>
      <c r="I16" s="101">
        <v>5138614.4400000004</v>
      </c>
    </row>
    <row r="17" spans="1:9" ht="25.15" customHeight="1" x14ac:dyDescent="0.2">
      <c r="A17" s="217" t="s">
        <v>178</v>
      </c>
      <c r="B17" s="217"/>
      <c r="C17" s="217"/>
      <c r="D17" s="217"/>
      <c r="E17" s="217"/>
      <c r="F17" s="217"/>
      <c r="G17" s="31">
        <v>10</v>
      </c>
      <c r="H17" s="101">
        <v>3230885</v>
      </c>
      <c r="I17" s="101">
        <v>-2496187.2999999998</v>
      </c>
    </row>
    <row r="18" spans="1:9" ht="28.15" customHeight="1" x14ac:dyDescent="0.2">
      <c r="A18" s="239" t="s">
        <v>304</v>
      </c>
      <c r="B18" s="239"/>
      <c r="C18" s="239"/>
      <c r="D18" s="239"/>
      <c r="E18" s="239"/>
      <c r="F18" s="239"/>
      <c r="G18" s="32">
        <v>11</v>
      </c>
      <c r="H18" s="102">
        <f>H8+H9</f>
        <v>-5121559</v>
      </c>
      <c r="I18" s="102">
        <f>I8+I9</f>
        <v>-14936492.710000001</v>
      </c>
    </row>
    <row r="19" spans="1:9" ht="12.75" customHeight="1" x14ac:dyDescent="0.2">
      <c r="A19" s="240" t="s">
        <v>179</v>
      </c>
      <c r="B19" s="240"/>
      <c r="C19" s="240"/>
      <c r="D19" s="240"/>
      <c r="E19" s="240"/>
      <c r="F19" s="240"/>
      <c r="G19" s="32">
        <v>12</v>
      </c>
      <c r="H19" s="102">
        <f>H20+H21+H22+H23</f>
        <v>13995613</v>
      </c>
      <c r="I19" s="102">
        <f>I20+I21+I22+I23</f>
        <v>15350571.369999999</v>
      </c>
    </row>
    <row r="20" spans="1:9" ht="12.75" customHeight="1" x14ac:dyDescent="0.2">
      <c r="A20" s="217" t="s">
        <v>180</v>
      </c>
      <c r="B20" s="217"/>
      <c r="C20" s="217"/>
      <c r="D20" s="217"/>
      <c r="E20" s="217"/>
      <c r="F20" s="217"/>
      <c r="G20" s="31">
        <v>13</v>
      </c>
      <c r="H20" s="101">
        <v>23067932</v>
      </c>
      <c r="I20" s="101">
        <v>28337574.510000002</v>
      </c>
    </row>
    <row r="21" spans="1:9" ht="12.75" customHeight="1" x14ac:dyDescent="0.2">
      <c r="A21" s="217" t="s">
        <v>181</v>
      </c>
      <c r="B21" s="217"/>
      <c r="C21" s="217"/>
      <c r="D21" s="217"/>
      <c r="E21" s="217"/>
      <c r="F21" s="217"/>
      <c r="G21" s="31">
        <v>14</v>
      </c>
      <c r="H21" s="101">
        <v>-6498830</v>
      </c>
      <c r="I21" s="101">
        <v>-11036502.73</v>
      </c>
    </row>
    <row r="22" spans="1:9" ht="12.75" customHeight="1" x14ac:dyDescent="0.2">
      <c r="A22" s="217" t="s">
        <v>182</v>
      </c>
      <c r="B22" s="217"/>
      <c r="C22" s="217"/>
      <c r="D22" s="217"/>
      <c r="E22" s="217"/>
      <c r="F22" s="217"/>
      <c r="G22" s="31">
        <v>15</v>
      </c>
      <c r="H22" s="101">
        <v>-198497</v>
      </c>
      <c r="I22" s="101">
        <v>-306425.84000000003</v>
      </c>
    </row>
    <row r="23" spans="1:9" ht="12.75" customHeight="1" x14ac:dyDescent="0.2">
      <c r="A23" s="217" t="s">
        <v>183</v>
      </c>
      <c r="B23" s="217"/>
      <c r="C23" s="217"/>
      <c r="D23" s="217"/>
      <c r="E23" s="217"/>
      <c r="F23" s="217"/>
      <c r="G23" s="31">
        <v>16</v>
      </c>
      <c r="H23" s="101">
        <v>-2374992</v>
      </c>
      <c r="I23" s="101">
        <f>-1644074.27-0.3</f>
        <v>-1644074.57</v>
      </c>
    </row>
    <row r="24" spans="1:9" ht="12.75" customHeight="1" x14ac:dyDescent="0.2">
      <c r="A24" s="239" t="s">
        <v>184</v>
      </c>
      <c r="B24" s="239"/>
      <c r="C24" s="239"/>
      <c r="D24" s="239"/>
      <c r="E24" s="239"/>
      <c r="F24" s="239"/>
      <c r="G24" s="32">
        <v>17</v>
      </c>
      <c r="H24" s="102">
        <f>H18+H19</f>
        <v>8874054</v>
      </c>
      <c r="I24" s="102">
        <f>I18+I19</f>
        <v>414078.66</v>
      </c>
    </row>
    <row r="25" spans="1:9" ht="12.75" customHeight="1" x14ac:dyDescent="0.2">
      <c r="A25" s="182" t="s">
        <v>185</v>
      </c>
      <c r="B25" s="182"/>
      <c r="C25" s="182"/>
      <c r="D25" s="182"/>
      <c r="E25" s="182"/>
      <c r="F25" s="182"/>
      <c r="G25" s="31">
        <v>18</v>
      </c>
      <c r="H25" s="101">
        <v>-1707897</v>
      </c>
      <c r="I25" s="101">
        <v>-3308532.77</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7166157</v>
      </c>
      <c r="I27" s="102">
        <f>I24+I25+I26</f>
        <v>-2894454.11</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21179</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75000</v>
      </c>
      <c r="I33" s="103">
        <v>1404</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96179</v>
      </c>
      <c r="I35" s="104">
        <f>I29+I30+I31+I32+I33+I34</f>
        <v>1404</v>
      </c>
    </row>
    <row r="36" spans="1:9" ht="22.9" customHeight="1" x14ac:dyDescent="0.2">
      <c r="A36" s="182" t="s">
        <v>196</v>
      </c>
      <c r="B36" s="182"/>
      <c r="C36" s="182"/>
      <c r="D36" s="182"/>
      <c r="E36" s="182"/>
      <c r="F36" s="182"/>
      <c r="G36" s="31">
        <v>28</v>
      </c>
      <c r="H36" s="103">
        <v>-2283764</v>
      </c>
      <c r="I36" s="103">
        <v>-1127923.3799999999</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-3074748</v>
      </c>
      <c r="I40" s="103">
        <v>-4413591.96</v>
      </c>
    </row>
    <row r="41" spans="1:9" ht="24" customHeight="1" x14ac:dyDescent="0.2">
      <c r="A41" s="239" t="s">
        <v>201</v>
      </c>
      <c r="B41" s="239"/>
      <c r="C41" s="239"/>
      <c r="D41" s="239"/>
      <c r="E41" s="239"/>
      <c r="F41" s="239"/>
      <c r="G41" s="32">
        <v>33</v>
      </c>
      <c r="H41" s="104">
        <f>H36+H37+H38+H39+H40</f>
        <v>-5358512</v>
      </c>
      <c r="I41" s="104">
        <f>I36+I37+I38+I39+I40</f>
        <v>-5541515.3399999999</v>
      </c>
    </row>
    <row r="42" spans="1:9" ht="29.45" customHeight="1" x14ac:dyDescent="0.2">
      <c r="A42" s="244" t="s">
        <v>202</v>
      </c>
      <c r="B42" s="244"/>
      <c r="C42" s="244"/>
      <c r="D42" s="244"/>
      <c r="E42" s="244"/>
      <c r="F42" s="244"/>
      <c r="G42" s="32">
        <v>34</v>
      </c>
      <c r="H42" s="104">
        <f>H35+H41</f>
        <v>-5262333</v>
      </c>
      <c r="I42" s="104">
        <f>I35+I41</f>
        <v>-5540111.3399999999</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35000000</v>
      </c>
    </row>
    <row r="48" spans="1:9" ht="22.15" customHeight="1" x14ac:dyDescent="0.2">
      <c r="A48" s="239" t="s">
        <v>208</v>
      </c>
      <c r="B48" s="239"/>
      <c r="C48" s="239"/>
      <c r="D48" s="239"/>
      <c r="E48" s="239"/>
      <c r="F48" s="239"/>
      <c r="G48" s="32">
        <v>39</v>
      </c>
      <c r="H48" s="104">
        <f>H44+H45+H46+H47</f>
        <v>0</v>
      </c>
      <c r="I48" s="104">
        <f>I44+I45+I46+I47</f>
        <v>35000000</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-7785422</v>
      </c>
      <c r="I53" s="103">
        <v>-5600059.3899999997</v>
      </c>
    </row>
    <row r="54" spans="1:9" ht="30.6" customHeight="1" x14ac:dyDescent="0.2">
      <c r="A54" s="239" t="s">
        <v>213</v>
      </c>
      <c r="B54" s="239"/>
      <c r="C54" s="239"/>
      <c r="D54" s="239"/>
      <c r="E54" s="239"/>
      <c r="F54" s="239"/>
      <c r="G54" s="32">
        <v>45</v>
      </c>
      <c r="H54" s="104">
        <f>H49+H50+H51+H52+H53</f>
        <v>-7785422</v>
      </c>
      <c r="I54" s="104">
        <f>I49+I50+I51+I52+I53</f>
        <v>-5600059.3899999997</v>
      </c>
    </row>
    <row r="55" spans="1:9" ht="29.45" customHeight="1" x14ac:dyDescent="0.2">
      <c r="A55" s="244" t="s">
        <v>214</v>
      </c>
      <c r="B55" s="244"/>
      <c r="C55" s="244"/>
      <c r="D55" s="244"/>
      <c r="E55" s="244"/>
      <c r="F55" s="244"/>
      <c r="G55" s="32">
        <v>46</v>
      </c>
      <c r="H55" s="104">
        <f>H48+H54</f>
        <v>-7785422</v>
      </c>
      <c r="I55" s="104">
        <f>I48+I54</f>
        <v>29399940.609999999</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-5881598</v>
      </c>
      <c r="I57" s="104">
        <f>I27+I42+I55+I56</f>
        <v>20965375.16</v>
      </c>
    </row>
    <row r="58" spans="1:9" x14ac:dyDescent="0.2">
      <c r="A58" s="245" t="s">
        <v>217</v>
      </c>
      <c r="B58" s="245"/>
      <c r="C58" s="245"/>
      <c r="D58" s="245"/>
      <c r="E58" s="245"/>
      <c r="F58" s="245"/>
      <c r="G58" s="31">
        <v>49</v>
      </c>
      <c r="H58" s="103">
        <v>44826509</v>
      </c>
      <c r="I58" s="103">
        <v>11894489.060000001</v>
      </c>
    </row>
    <row r="59" spans="1:9" ht="31.15" customHeight="1" x14ac:dyDescent="0.2">
      <c r="A59" s="244" t="s">
        <v>218</v>
      </c>
      <c r="B59" s="244"/>
      <c r="C59" s="244"/>
      <c r="D59" s="244"/>
      <c r="E59" s="244"/>
      <c r="F59" s="244"/>
      <c r="G59" s="32">
        <v>50</v>
      </c>
      <c r="H59" s="104">
        <f>H57+H58</f>
        <v>38944911</v>
      </c>
      <c r="I59" s="104">
        <f>I57+I58</f>
        <v>32859864.219999999</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topLeftCell="A35" zoomScaleNormal="100" zoomScaleSheetLayoutView="80" workbookViewId="0">
      <selection activeCell="L14" sqref="L14"/>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topLeftCell="I48" zoomScaleNormal="100" zoomScaleSheetLayoutView="80" workbookViewId="0">
      <selection activeCell="K1" sqref="K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92387953</v>
      </c>
      <c r="I7" s="120">
        <v>0</v>
      </c>
      <c r="J7" s="120">
        <v>0</v>
      </c>
      <c r="K7" s="120">
        <v>0</v>
      </c>
      <c r="L7" s="120">
        <v>0</v>
      </c>
      <c r="M7" s="120">
        <v>0</v>
      </c>
      <c r="N7" s="120">
        <v>0</v>
      </c>
      <c r="O7" s="120">
        <v>7016033</v>
      </c>
      <c r="P7" s="120">
        <v>0</v>
      </c>
      <c r="Q7" s="120">
        <v>0</v>
      </c>
      <c r="R7" s="120">
        <v>0</v>
      </c>
      <c r="S7" s="120">
        <v>0</v>
      </c>
      <c r="T7" s="120">
        <v>0</v>
      </c>
      <c r="U7" s="120">
        <v>0</v>
      </c>
      <c r="V7" s="120">
        <v>-78383908</v>
      </c>
      <c r="W7" s="120">
        <v>-19570829</v>
      </c>
      <c r="X7" s="122">
        <f>H7+I7+J7+K7-L7+M7+N7+O7+P7+Q7+R7+V7+W7+S7+T7+U7</f>
        <v>1449249</v>
      </c>
      <c r="Y7" s="120">
        <v>0</v>
      </c>
      <c r="Z7" s="122">
        <f>X7+Y7</f>
        <v>1449249</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92387953</v>
      </c>
      <c r="I10" s="122">
        <f t="shared" ref="I10:Z10" si="2">I7+I8+I9</f>
        <v>0</v>
      </c>
      <c r="J10" s="122">
        <f t="shared" si="2"/>
        <v>0</v>
      </c>
      <c r="K10" s="122">
        <f>K7+K8+K9</f>
        <v>0</v>
      </c>
      <c r="L10" s="122">
        <f t="shared" si="2"/>
        <v>0</v>
      </c>
      <c r="M10" s="122">
        <f t="shared" si="2"/>
        <v>0</v>
      </c>
      <c r="N10" s="122">
        <f t="shared" si="2"/>
        <v>0</v>
      </c>
      <c r="O10" s="122">
        <f t="shared" si="2"/>
        <v>7016033</v>
      </c>
      <c r="P10" s="122">
        <f t="shared" si="2"/>
        <v>0</v>
      </c>
      <c r="Q10" s="122">
        <f t="shared" si="2"/>
        <v>0</v>
      </c>
      <c r="R10" s="122">
        <f t="shared" si="2"/>
        <v>0</v>
      </c>
      <c r="S10" s="122">
        <f t="shared" si="2"/>
        <v>0</v>
      </c>
      <c r="T10" s="122">
        <f>T7+T8+T9</f>
        <v>0</v>
      </c>
      <c r="U10" s="122">
        <f>U7+U8+U9</f>
        <v>0</v>
      </c>
      <c r="V10" s="122">
        <f>V7+V8+V9</f>
        <v>-78383908</v>
      </c>
      <c r="W10" s="122">
        <f>W7+W8+W9</f>
        <v>-19570829</v>
      </c>
      <c r="X10" s="122">
        <f>X7+X8+X9</f>
        <v>1449249</v>
      </c>
      <c r="Y10" s="122">
        <f t="shared" si="2"/>
        <v>0</v>
      </c>
      <c r="Z10" s="122">
        <f t="shared" si="2"/>
        <v>1449249</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-15888591</v>
      </c>
      <c r="X11" s="122">
        <f>H11+I11+J11+K11-L11+M11+N11+O11+P11+Q11+R11+V11+W11+S11+T11+U11</f>
        <v>-15888591</v>
      </c>
      <c r="Y11" s="120">
        <v>0</v>
      </c>
      <c r="Z11" s="122">
        <f t="shared" ref="Z11:Z29" si="3">X11+Y11</f>
        <v>-15888591</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-19570829</v>
      </c>
      <c r="W28" s="120">
        <v>19570829</v>
      </c>
      <c r="X28" s="122">
        <f t="shared" si="4"/>
        <v>0</v>
      </c>
      <c r="Y28" s="120">
        <v>0</v>
      </c>
      <c r="Z28" s="122">
        <f t="shared" si="3"/>
        <v>0</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92387953</v>
      </c>
      <c r="I30" s="122">
        <f t="shared" ref="I30:Z30" si="5">SUM(I10:I29)</f>
        <v>0</v>
      </c>
      <c r="J30" s="122">
        <f t="shared" si="5"/>
        <v>0</v>
      </c>
      <c r="K30" s="122">
        <f t="shared" si="5"/>
        <v>0</v>
      </c>
      <c r="L30" s="122">
        <f t="shared" si="5"/>
        <v>0</v>
      </c>
      <c r="M30" s="122">
        <f t="shared" si="5"/>
        <v>0</v>
      </c>
      <c r="N30" s="122">
        <f t="shared" si="5"/>
        <v>0</v>
      </c>
      <c r="O30" s="122">
        <f t="shared" si="5"/>
        <v>7016033</v>
      </c>
      <c r="P30" s="122">
        <f t="shared" si="5"/>
        <v>0</v>
      </c>
      <c r="Q30" s="122">
        <f t="shared" si="5"/>
        <v>0</v>
      </c>
      <c r="R30" s="122">
        <f t="shared" si="5"/>
        <v>0</v>
      </c>
      <c r="S30" s="122">
        <f t="shared" si="5"/>
        <v>0</v>
      </c>
      <c r="T30" s="122">
        <f t="shared" si="5"/>
        <v>0</v>
      </c>
      <c r="U30" s="122">
        <f t="shared" si="5"/>
        <v>0</v>
      </c>
      <c r="V30" s="122">
        <f t="shared" si="5"/>
        <v>-97954737</v>
      </c>
      <c r="W30" s="122">
        <f t="shared" si="5"/>
        <v>-15888591</v>
      </c>
      <c r="X30" s="122">
        <f>SUM(X10:X29)</f>
        <v>-14439342</v>
      </c>
      <c r="Y30" s="122">
        <f t="shared" si="5"/>
        <v>0</v>
      </c>
      <c r="Z30" s="122">
        <f t="shared" si="5"/>
        <v>-14439342</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411</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-15888591</v>
      </c>
      <c r="X33" s="122">
        <f>X11+X32</f>
        <v>-15888591</v>
      </c>
      <c r="Y33" s="122">
        <f t="shared" si="9"/>
        <v>0</v>
      </c>
      <c r="Z33" s="122">
        <f t="shared" si="9"/>
        <v>-15888591</v>
      </c>
    </row>
    <row r="34" spans="1:26" ht="30.75" customHeight="1" x14ac:dyDescent="0.2">
      <c r="A34" s="276" t="s">
        <v>412</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-19570829</v>
      </c>
      <c r="W34" s="122">
        <f t="shared" si="12"/>
        <v>19570829</v>
      </c>
      <c r="X34" s="122">
        <f>SUM(X21:X29)</f>
        <v>0</v>
      </c>
      <c r="Y34" s="122">
        <f t="shared" si="12"/>
        <v>0</v>
      </c>
      <c r="Z34" s="122">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92387953</v>
      </c>
      <c r="I36" s="120">
        <v>43000000</v>
      </c>
      <c r="J36" s="120">
        <v>0</v>
      </c>
      <c r="K36" s="120">
        <v>0</v>
      </c>
      <c r="L36" s="120">
        <v>0</v>
      </c>
      <c r="M36" s="120">
        <v>0</v>
      </c>
      <c r="N36" s="120">
        <v>0</v>
      </c>
      <c r="O36" s="120">
        <v>7075550.5499999998</v>
      </c>
      <c r="P36" s="120">
        <v>0</v>
      </c>
      <c r="Q36" s="120">
        <v>0</v>
      </c>
      <c r="R36" s="120">
        <v>0</v>
      </c>
      <c r="S36" s="120">
        <v>0</v>
      </c>
      <c r="T36" s="120">
        <v>0</v>
      </c>
      <c r="U36" s="120">
        <v>0</v>
      </c>
      <c r="V36" s="120">
        <f>Bilanca!H92</f>
        <v>-97376000.75</v>
      </c>
      <c r="W36" s="120">
        <f>Bilanca!H95</f>
        <v>-38710607.75</v>
      </c>
      <c r="X36" s="121">
        <f>H36+I36+J36+K36-L36+M36+N36+O36+P36+Q36+R36+V36+W36+S36+T36+U36</f>
        <v>6376895.0499999998</v>
      </c>
      <c r="Y36" s="120">
        <v>0</v>
      </c>
      <c r="Z36" s="121">
        <f t="shared" ref="Z36:Z38" si="15">X36+Y36</f>
        <v>6376895.0499999998</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92387953</v>
      </c>
      <c r="I39" s="122">
        <f t="shared" ref="I39:Z39" si="17">I36+I37+I38</f>
        <v>43000000</v>
      </c>
      <c r="J39" s="122">
        <f t="shared" si="17"/>
        <v>0</v>
      </c>
      <c r="K39" s="122">
        <f t="shared" si="17"/>
        <v>0</v>
      </c>
      <c r="L39" s="122">
        <f t="shared" si="17"/>
        <v>0</v>
      </c>
      <c r="M39" s="122">
        <f t="shared" si="17"/>
        <v>0</v>
      </c>
      <c r="N39" s="122">
        <f t="shared" si="17"/>
        <v>0</v>
      </c>
      <c r="O39" s="122">
        <f t="shared" si="17"/>
        <v>7075550.5499999998</v>
      </c>
      <c r="P39" s="122">
        <f t="shared" si="17"/>
        <v>0</v>
      </c>
      <c r="Q39" s="122">
        <f t="shared" si="17"/>
        <v>0</v>
      </c>
      <c r="R39" s="122">
        <f t="shared" si="17"/>
        <v>0</v>
      </c>
      <c r="S39" s="122">
        <f t="shared" si="17"/>
        <v>0</v>
      </c>
      <c r="T39" s="122">
        <f t="shared" si="17"/>
        <v>0</v>
      </c>
      <c r="U39" s="122">
        <f t="shared" si="17"/>
        <v>0</v>
      </c>
      <c r="V39" s="122">
        <f t="shared" si="17"/>
        <v>-97376000.75</v>
      </c>
      <c r="W39" s="122">
        <f t="shared" si="17"/>
        <v>-38710607.75</v>
      </c>
      <c r="X39" s="122">
        <f>X36+X37+X38</f>
        <v>6376895.0499999998</v>
      </c>
      <c r="Y39" s="122">
        <f t="shared" si="17"/>
        <v>0</v>
      </c>
      <c r="Z39" s="122">
        <f t="shared" si="17"/>
        <v>6376895.0499999998</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RDG!J68</f>
        <v>-29865834.289999999</v>
      </c>
      <c r="X40" s="121">
        <f>H40+I40+J40+K40-L40+M40+N40+O40+P40+Q40+R40+V40+W40+S40+T40+U40</f>
        <v>-29865834.289999999</v>
      </c>
      <c r="Y40" s="120">
        <v>0</v>
      </c>
      <c r="Z40" s="121">
        <f t="shared" ref="Z40:Z58" si="18">X40+Y40</f>
        <v>-29865834.289999999</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406</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43000000</v>
      </c>
      <c r="I56" s="120">
        <f>-43000000+35000000+42878556.37</f>
        <v>34878556.369999997</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77878556.370000005</v>
      </c>
      <c r="Y56" s="120">
        <v>0</v>
      </c>
      <c r="Z56" s="121">
        <f t="shared" si="18"/>
        <v>77878556.370000005</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W39</f>
        <v>-38710607.75</v>
      </c>
      <c r="W57" s="120">
        <f>W39*-1</f>
        <v>38710607.75</v>
      </c>
      <c r="X57" s="121">
        <f t="shared" si="19"/>
        <v>0</v>
      </c>
      <c r="Y57" s="120">
        <v>0</v>
      </c>
      <c r="Z57" s="121">
        <f t="shared" si="18"/>
        <v>0</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135387953</v>
      </c>
      <c r="I59" s="122">
        <f t="shared" ref="I59:Z59" si="20">SUM(I39:I58)</f>
        <v>77878556.370000005</v>
      </c>
      <c r="J59" s="122">
        <f t="shared" si="20"/>
        <v>0</v>
      </c>
      <c r="K59" s="122">
        <f t="shared" si="20"/>
        <v>0</v>
      </c>
      <c r="L59" s="122">
        <f t="shared" si="20"/>
        <v>0</v>
      </c>
      <c r="M59" s="122">
        <f t="shared" si="20"/>
        <v>0</v>
      </c>
      <c r="N59" s="122">
        <f t="shared" si="20"/>
        <v>0</v>
      </c>
      <c r="O59" s="122">
        <f t="shared" si="20"/>
        <v>7075550.5499999998</v>
      </c>
      <c r="P59" s="122">
        <f t="shared" si="20"/>
        <v>0</v>
      </c>
      <c r="Q59" s="122">
        <f t="shared" si="20"/>
        <v>0</v>
      </c>
      <c r="R59" s="122">
        <f t="shared" si="20"/>
        <v>0</v>
      </c>
      <c r="S59" s="122">
        <f t="shared" si="20"/>
        <v>0</v>
      </c>
      <c r="T59" s="122">
        <f t="shared" si="20"/>
        <v>0</v>
      </c>
      <c r="U59" s="122">
        <f t="shared" si="20"/>
        <v>0</v>
      </c>
      <c r="V59" s="122">
        <f t="shared" si="20"/>
        <v>-136086608.5</v>
      </c>
      <c r="W59" s="122">
        <f t="shared" si="20"/>
        <v>-29865834.289999999</v>
      </c>
      <c r="X59" s="122">
        <f>SUM(X39:X58)</f>
        <v>54389617.130000003</v>
      </c>
      <c r="Y59" s="122">
        <f t="shared" si="20"/>
        <v>0</v>
      </c>
      <c r="Z59" s="122">
        <f t="shared" si="20"/>
        <v>54389617.130000003</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418</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-29865834.289999999</v>
      </c>
      <c r="X62" s="121">
        <f>X40+X61</f>
        <v>-29865834.289999999</v>
      </c>
      <c r="Y62" s="121">
        <f t="shared" si="24"/>
        <v>0</v>
      </c>
      <c r="Z62" s="121">
        <f t="shared" si="24"/>
        <v>-29865834.289999999</v>
      </c>
    </row>
    <row r="63" spans="1:26" ht="29.25" customHeight="1" x14ac:dyDescent="0.2">
      <c r="A63" s="276" t="s">
        <v>419</v>
      </c>
      <c r="B63" s="276"/>
      <c r="C63" s="276"/>
      <c r="D63" s="276"/>
      <c r="E63" s="276"/>
      <c r="F63" s="276"/>
      <c r="G63" s="118">
        <v>54</v>
      </c>
      <c r="H63" s="121">
        <f>SUM(H50:H58)</f>
        <v>43000000</v>
      </c>
      <c r="I63" s="121">
        <f t="shared" ref="I63:Z63" si="27">SUM(I50:I58)</f>
        <v>34878556.369999997</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-38710607.75</v>
      </c>
      <c r="W63" s="121">
        <f t="shared" si="27"/>
        <v>38710607.75</v>
      </c>
      <c r="X63" s="121">
        <f>SUM(X50:X58)</f>
        <v>77878556.370000005</v>
      </c>
      <c r="Y63" s="121">
        <f t="shared" si="27"/>
        <v>0</v>
      </c>
      <c r="Z63" s="121">
        <f t="shared" si="27"/>
        <v>77878556.370000005</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Q25" sqref="Q25"/>
    </sheetView>
  </sheetViews>
  <sheetFormatPr defaultRowHeight="12.75" x14ac:dyDescent="0.2"/>
  <cols>
    <col min="9" max="9" width="10.140625" customWidth="1"/>
  </cols>
  <sheetData>
    <row r="1" spans="1:9" x14ac:dyDescent="0.2">
      <c r="A1" s="277" t="s">
        <v>471</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2026-04-29T10:35:01Z</cp:lastPrinted>
  <dcterms:created xsi:type="dcterms:W3CDTF">2008-10-17T11:51:54Z</dcterms:created>
  <dcterms:modified xsi:type="dcterms:W3CDTF">2026-04-29T10:53:09Z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