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5" windowWidth="12735"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<sst xmlns="http://schemas.openxmlformats.org/spreadsheetml/2006/main" count="3662" uniqueCount="2965">
  <si>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</si>
  <si>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</si>
  <si>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</si>
  <si>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</si>
  <si>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</si>
  <si>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</si>
  <si>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</si>
  <si>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</si>
  <si>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</si>
  <si>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</si>
  <si>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</si>
  <si>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</si>
  <si>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</si>
  <si>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</si>
  <si>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</si>
  <si>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</si>
  <si>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</si>
  <si>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</si>
  <si>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</si>
  <si>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</si>
  <si>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</si>
  <si>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</si>
  <si>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</si>
  <si>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</si>
  <si>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</si>
  <si>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</si>
  <si>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</si>
  <si>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</si>
  <si>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</si>
  <si>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</si>
  <si>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</si>
  <si>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</si>
  <si>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</si>
  <si>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</si>
  <si>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</si>
  <si>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</si>
  <si>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</si>
  <si>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</si>
  <si>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</si>
  <si>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</si>
  <si>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</si>
  <si>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</si>
  <si>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</si>
  <si>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</si>
  <si>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</si>
  <si>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</si>
  <si>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</si>
  <si>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</si>
  <si>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</si>
  <si>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</si>
  <si>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</si>
  <si>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</si>
  <si>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</si>
  <si>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</si>
  <si>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</si>
  <si>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</si>
  <si>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</si>
  <si>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</si>
  <si>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</si>
  <si>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</si>
  <si>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</si>
  <si>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</si>
  <si>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</si>
  <si>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</si>
  <si>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</si>
  <si>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</si>
  <si>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</si>
  <si>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</si>
  <si>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</si>
  <si>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</si>
  <si>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</si>
  <si>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</si>
  <si>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</si>
  <si>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</si>
  <si>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</si>
  <si>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</si>
  <si>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</si>
  <si>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</si>
  <si>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</si>
  <si>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</si>
  <si>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</si>
  <si>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</si>
  <si>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</si>
  <si>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</si>
  <si>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</si>
  <si>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</si>
  <si>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</si>
  <si>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</si>
  <si>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</si>
  <si>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</si>
  <si>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</si>
  <si>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</si>
  <si>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</si>
  <si>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</si>
  <si>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</si>
  <si>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</si>
  <si>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</si>
  <si>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</si>
  <si>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</si>
  <si>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</si>
  <si>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</si>
  <si>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</si>
  <si>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</si>
  <si>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</si>
  <si>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</si>
  <si>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</si>
  <si>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</si>
  <si>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</si>
  <si>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</si>
  <si>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</si>
  <si>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</si>
  <si>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</si>
  <si>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</si>
  <si>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</si>
  <si>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</si>
  <si>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</si>
  <si>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</si>
  <si>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</si>
  <si>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</si>
  <si>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</si>
  <si>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</si>
  <si>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</si>
  <si>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</si>
  <si>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</si>
  <si>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</si>
  <si>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</si>
  <si>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</si>
  <si>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</si>
  <si>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</si>
  <si>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</si>
  <si>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</si>
  <si>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</si>
  <si>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</si>
  <si>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</si>
  <si>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</si>
  <si>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</si>
  <si>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</si>
  <si>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</si>
  <si>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</si>
  <si>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</si>
  <si>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</si>
  <si>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</si>
  <si>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</si>
  <si>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</si>
  <si>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</si>
  <si>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</si>
  <si>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</si>
  <si>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</si>
  <si>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</si>
  <si>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</si>
  <si>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</si>
  <si>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</si>
  <si>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</si>
  <si>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</si>
  <si>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</si>
  <si>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</si>
  <si>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</si>
  <si>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</si>
  <si>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</si>
  <si>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</si>
  <si>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</si>
  <si>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</si>
  <si>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</si>
  <si>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</si>
  <si>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</si>
  <si>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</si>
  <si>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</si>
  <si>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</si>
  <si>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</si>
  <si>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</si>
  <si>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</si>
  <si>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</si>
  <si>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</si>
  <si>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</si>
  <si>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</si>
  <si>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</si>
  <si>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</si>
  <si>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</si>
  <si>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</si>
  <si>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</si>
  <si>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</si>
  <si>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</si>
  <si>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</si>
  <si>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</si>
  <si>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</si>
  <si>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</si>
  <si>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</si>
  <si>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</si>
  <si>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</si>
  <si>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</si>
  <si>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</si>
  <si>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</si>
  <si>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</si>
  <si>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</si>
  <si>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</si>
  <si>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</si>
  <si>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</si>
  <si>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</si>
  <si>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</si>
  <si>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</si>
  <si>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</si>
  <si>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</si>
  <si>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</si>
  <si>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</si>
  <si>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</si>
  <si>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</si>
  <si>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</si>
  <si>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</si>
  <si>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</si>
  <si>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</si>
  <si>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</si>
  <si>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</si>
  <si>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</si>
  <si>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</si>
  <si>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</si>
  <si>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</si>
  <si>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</si>
  <si>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</si>
  <si>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</si>
  <si>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</si>
  <si>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</si>
  <si>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</si>
  <si>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</si>
  <si>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</si>
  <si>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</si>
  <si>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</si>
  <si>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</si>
  <si>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</si>
  <si>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</si>
  <si>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</si>
  <si>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</si>
  <si>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</si>
  <si>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</si>
  <si>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</si>
  <si>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</si>
  <si>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</si>
  <si>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</si>
  <si>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</si>
  <si>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</si>
  <si>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</si>
  <si>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</si>
  <si>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</si>
  <si>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</si>
  <si>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</si>
  <si>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</si>
  <si>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</si>
  <si>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</si>
  <si>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</si>
  <si>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</si>
  <si>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</si>
  <si>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</si>
  <si>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</si>
  <si>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</si>
  <si>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</si>
  <si>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</si>
  <si>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</si>
  <si>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</si>
  <si>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</si>
  <si>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</si>
  <si>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</si>
  <si>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</si>
  <si>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</si>
  <si>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</si>
  <si>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</si>
  <si>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</si>
  <si>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</si>
  <si>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</si>
  <si>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</si>
  <si>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</si>
  <si>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</si>
  <si>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</si>
  <si>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</si>
  <si>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</si>
  <si>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</si>
  <si>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</si>
  <si>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</si>
  <si>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</si>
  <si>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</si>
  <si>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</si>
  <si>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</si>
  <si>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</si>
  <si>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</si>
  <si>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</si>
  <si>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</si>
  <si>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</si>
  <si>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</si>
  <si>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</si>
  <si>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</si>
  <si>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</si>
  <si>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</si>
  <si>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</si>
  <si>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</si>
  <si>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</si>
  <si>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</si>
  <si>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</si>
  <si>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</si>
  <si>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</si>
  <si>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</si>
  <si>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</si>
  <si>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</si>
  <si>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</si>
  <si>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</si>
  <si>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</si>
  <si>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</si>
  <si>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</si>
  <si>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</si>
  <si>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</si>
  <si>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</si>
  <si>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</si>
  <si>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</si>
  <si>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</si>
  <si>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</si>
  <si>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</si>
  <si>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</si>
  <si>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</si>
  <si>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</si>
  <si>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</si>
  <si>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</si>
  <si>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</si>
  <si>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</si>
  <si>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</si>
  <si>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</si>
  <si>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</si>
  <si>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</si>
  <si>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</si>
  <si>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</si>
  <si>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</si>
  <si>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</si>
  <si>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</si>
  <si>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</si>
  <si>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</si>
  <si>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</si>
  <si>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</si>
  <si>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</si>
  <si>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</si>
  <si>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</si>
  <si>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</si>
  <si>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</si>
  <si>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</si>
  <si>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</si>
  <si>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</si>
  <si>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</si>
  <si>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</si>
  <si>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</si>
  <si>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</si>
  <si>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</si>
  <si>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</si>
  <si>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</si>
  <si>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</si>
  <si>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</si>
  <si>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</si>
  <si>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</si>
  <si>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</si>
  <si>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</si>
  <si>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</si>
  <si>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</si>
  <si>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</si>
  <si>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</si>
  <si>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</si>
  <si>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</si>
  <si>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</si>
  <si>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</si>
  <si>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</si>
  <si>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</si>
  <si>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</si>
  <si>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</si>
  <si>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</si>
  <si>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</si>
  <si>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</si>
  <si>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</si>
  <si>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</si>
  <si>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</si>
  <si>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</si>
  <si>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</si>
  <si>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</si>
  <si>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</si>
  <si>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</si>
  <si>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</si>
  <si>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</si>
  <si>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</si>
  <si>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</si>
  <si>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</si>
  <si>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</si>
  <si>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</si>
  <si>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</si>
  <si>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</si>
  <si>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</si>
  <si>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</si>
  <si>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</si>
  <si>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</si>
  <si>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</si>
  <si>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</si>
  <si>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</si>
  <si>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</si>
  <si>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</si>
  <si>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</si>
  <si>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</si>
  <si>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</si>
  <si>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</si>
  <si>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</si>
  <si>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</si>
  <si>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</si>
  <si>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</si>
  <si>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</si>
  <si>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</si>
  <si>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</si>
  <si>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</si>
  <si>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</si>
  <si>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</si>
  <si>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</si>
  <si>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</si>
  <si>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</si>
  <si>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</si>
  <si>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</si>
  <si>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</si>
  <si>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</si>
  <si>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</si>
  <si>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</si>
  <si>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</si>
  <si>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</si>
  <si>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</si>
  <si>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</si>
  <si>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</si>
  <si>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</si>
  <si>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</si>
  <si>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</si>
  <si>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</si>
  <si>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</si>
  <si>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</si>
  <si>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</si>
  <si>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</si>
  <si>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</si>
  <si>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</si>
  <si>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</si>
  <si>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</si>
  <si>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</si>
  <si>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</si>
  <si>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</si>
  <si>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</si>
  <si>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</si>
  <si>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</si>
  <si>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</si>
  <si>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</si>
  <si>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</si>
  <si>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</si>
  <si>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</si>
  <si>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</si>
  <si>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</si>
  <si>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</si>
  <si>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</si>
  <si>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</si>
  <si>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</si>
  <si>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</si>
  <si>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</si>
  <si>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</si>
  <si>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</si>
  <si>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</si>
  <si>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</si>
  <si>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</si>
  <si>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</si>
  <si>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</si>
  <si>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</si>
  <si>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</si>
  <si>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</si>
  <si>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</si>
  <si>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</si>
  <si>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</si>
  <si>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</si>
  <si>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</si>
  <si>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</si>
  <si>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</si>
  <si>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</si>
  <si>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</si>
  <si>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</si>
  <si>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</si>
  <si>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</si>
  <si>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</si>
  <si>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</si>
  <si>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</si>
  <si>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</si>
  <si>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</si>
  <si>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</si>
  <si>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</si>
  <si>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</si>
  <si>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</si>
  <si>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</si>
  <si>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</si>
  <si>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</si>
  <si>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</si>
  <si>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</si>
  <si>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</si>
  <si>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</si>
  <si>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</si>
  <si>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</si>
  <si>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</si>
  <si>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</si>
  <si>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</si>
  <si>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</si>
  <si>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</si>
  <si>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</si>
  <si>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</si>
  <si>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</si>
  <si>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</si>
  <si>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</si>
  <si>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</si>
  <si>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</si>
  <si>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</si>
  <si>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</si>
  <si>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</si>
  <si>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</si>
  <si>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</si>
  <si>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</si>
  <si>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</si>
  <si>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</si>
  <si>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</si>
  <si>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</si>
  <si>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</si>
  <si>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</si>
  <si>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</si>
  <si>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</si>
  <si>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</si>
  <si>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</si>
  <si>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</si>
  <si>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</si>
  <si>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</si>
  <si>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</si>
  <si>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</si>
  <si>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</si>
  <si>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</si>
  <si>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</si>
  <si>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</si>
  <si>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</si>
  <si>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</si>
  <si>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</si>
  <si>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</si>
  <si>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</si>
  <si>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</si>
  <si>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</si>
  <si>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</si>
  <si>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</si>
  <si>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</si>
  <si>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</si>
  <si>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</si>
  <si>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</si>
  <si>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</si>
  <si>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</si>
  <si>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</si>
  <si>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</si>
  <si>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</si>
  <si>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</si>
  <si>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</si>
  <si>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</si>
  <si>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</si>
  <si>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</si>
  <si>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</si>
  <si>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</si>
  <si>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</si>
  <si>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</si>
  <si>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</si>
  <si>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</si>
  <si>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</si>
  <si>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</si>
  <si>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</si>
  <si>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</si>
  <si>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</si>
  <si>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</si>
  <si>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</si>
  <si>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</si>
  <si>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</si>
  <si>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</si>
  <si>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</si>
  <si>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</si>
  <si>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</si>
  <si>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</si>
  <si>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</si>
  <si>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</si>
  <si>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</si>
  <si>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</si>
  <si>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</si>
  <si>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</si>
  <si>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</si>
  <si>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</si>
  <si>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</si>
  <si>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</si>
  <si>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</si>
  <si>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</si>
  <si>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</si>
  <si>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</si>
  <si>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</si>
  <si>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</si>
  <si>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</si>
  <si>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</si>
  <si>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</si>
  <si>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</si>
  <si>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</si>
  <si>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</si>
  <si>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</si>
  <si>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</si>
  <si>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</si>
  <si>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</si>
  <si>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</si>
  <si>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</si>
  <si>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</si>
  <si>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</si>
  <si>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</si>
  <si>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</si>
  <si>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</si>
  <si>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</si>
  <si>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</si>
  <si>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</si>
  <si>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</si>
  <si>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</si>
  <si>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</si>
  <si>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</si>
  <si>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</si>
  <si>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</si>
  <si>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</si>
  <si>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</si>
  <si>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</si>
  <si>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</si>
  <si>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</si>
  <si>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</si>
  <si>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</si>
  <si>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</si>
  <si>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</si>
  <si>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</si>
  <si>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</si>
  <si>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</si>
  <si>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</si>
  <si>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</si>
  <si>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</si>
  <si>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</si>
  <si>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</si>
  <si>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</si>
  <si>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</si>
  <si>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</si>
  <si>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</si>
  <si>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</si>
  <si>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</si>
  <si>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</si>
  <si>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</si>
  <si>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</si>
  <si>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</si>
  <si>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</si>
  <si>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</si>
  <si>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</si>
  <si>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</si>
  <si>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</si>
  <si>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</si>
  <si>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</si>
  <si>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</si>
  <si>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</si>
  <si>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</si>
  <si>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</si>
  <si>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</si>
  <si>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</si>
  <si>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</si>
  <si>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</si>
  <si>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</si>
  <si>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</si>
  <si>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</si>
  <si>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</si>
  <si>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</si>
  <si>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</si>
  <si>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</si>
  <si>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</si>
  <si>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</si>
  <si>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</si>
  <si>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</si>
  <si>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</si>
  <si>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</si>
  <si>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</si>
  <si>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</si>
  <si>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</si>
  <si>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</si>
  <si>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</si>
  <si>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</si>
  <si>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</si>
  <si>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</si>
  <si>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</si>
  <si>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</si>
  <si>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</si>
  <si>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</si>
  <si>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</si>
  <si>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</si>
  <si>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</si>
  <si>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</si>
  <si>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</si>
  <si>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</si>
  <si>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</si>
  <si>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</si>
  <si>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</si>
  <si>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</si>
  <si>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</si>
  <si>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</si>
  <si>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</si>
  <si>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</si>
  <si>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</si>
  <si>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</si>
  <si>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</si>
  <si>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</si>
  <si>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</si>
  <si>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</si>
  <si>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</si>
  <si>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</si>
  <si>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</si>
  <si>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</si>
  <si>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</si>
  <si>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</si>
  <si>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</si>
  <si>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</si>
  <si>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</si>
  <si>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</si>
  <si>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</si>
  <si>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</si>
  <si>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</si>
  <si>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</si>
  <si>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</si>
  <si>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</si>
  <si>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</si>
  <si>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</si>
  <si>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</si>
  <si>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</si>
  <si>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</si>
  <si>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</si>
  <si>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</si>
  <si>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</si>
  <si>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</si>
  <si>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</si>
  <si>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</si>
  <si>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</si>
  <si>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</si>
  <si>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</si>
  <si>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</si>
  <si>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</si>
  <si>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</si>
  <si>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</si>
  <si>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</si>
  <si>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</si>
  <si>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</si>
  <si>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</si>
  <si>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</si>
  <si>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</si>
  <si>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</si>
  <si>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</si>
  <si>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</si>
  <si>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</si>
  <si>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</si>
  <si>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</si>
  <si>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</si>
  <si>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</si>
  <si>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</si>
  <si>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</si>
  <si>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</si>
  <si>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</si>
  <si>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</si>
  <si>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</si>
  <si>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</si>
  <si>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</si>
  <si>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</si>
  <si>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</si>
  <si>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</si>
  <si>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</si>
  <si>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</si>
  <si>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</si>
  <si>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</si>
  <si>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</si>
  <si>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</si>
  <si>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</si>
  <si>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</si>
  <si>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</si>
  <si>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</si>
  <si>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</si>
  <si>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</si>
  <si>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</si>
  <si>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</si>
  <si>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</si>
  <si>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</si>
  <si>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</si>
  <si>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</si>
  <si>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</si>
  <si>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</si>
  <si>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</si>
  <si>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</si>
  <si>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</si>
  <si>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</si>
  <si>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</si>
  <si>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</si>
  <si>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</si>
  <si>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</si>
  <si>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</si>
  <si>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</si>
  <si>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</si>
  <si>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</si>
  <si>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</si>
  <si>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</si>
  <si>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</si>
  <si>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</si>
  <si>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</si>
  <si>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</si>
  <si>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</si>
  <si>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</si>
  <si>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</si>
  <si>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</si>
  <si>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</si>
  <si>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</si>
  <si>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</si>
  <si>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</si>
  <si>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</si>
  <si>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</si>
  <si>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</si>
  <si>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</si>
  <si>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</si>
  <si>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</si>
  <si>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</si>
  <si>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</si>
  <si>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</si>
  <si>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</si>
  <si>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</si>
  <si>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</si>
  <si>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</si>
  <si>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</si>
  <si>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</si>
  <si>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</si>
  <si>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</si>
  <si>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</si>
  <si>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</si>
  <si>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</si>
  <si>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</si>
  <si>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</si>
  <si>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</si>
  <si>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</si>
  <si>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</si>
  <si>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</si>
  <si>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</si>
  <si>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</si>
  <si>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</si>
  <si>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</si>
  <si>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</si>
  <si>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</si>
  <si>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</si>
  <si>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</si>
  <si>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</si>
  <si>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</si>
  <si>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</si>
  <si>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</si>
  <si>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</si>
  <si>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</si>
  <si>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</si>
  <si>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</si>
  <si>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</si>
  <si>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</si>
  <si>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</si>
  <si>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</si>
  <si>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</si>
  <si>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</si>
  <si>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</si>
  <si>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</si>
  <si>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</si>
  <si>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</si>
  <si>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</si>
  <si>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</si>
  <si>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</si>
  <si>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</si>
  <si>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</si>
  <si>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</si>
  <si>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</si>
  <si>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</si>
  <si>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</si>
  <si>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</si>
  <si>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</si>
  <si>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</si>
  <si>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</si>
  <si>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</si>
  <si>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</si>
  <si>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</si>
  <si>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</si>
  <si>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</si>
  <si>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</si>
  <si>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</si>
  <si>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</si>
  <si>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</si>
  <si>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</si>
  <si>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</si>
  <si>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</si>
  <si>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</si>
  <si>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</si>
  <si>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</si>
  <si>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</si>
  <si>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</si>
  <si>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</si>
  <si>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</si>
  <si>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</si>
  <si>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</si>
  <si>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</si>
  <si>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</si>
  <si>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</si>
  <si>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</si>
  <si>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</si>
  <si>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</si>
  <si>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</si>
  <si>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</si>
  <si>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</si>
  <si>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</si>
  <si>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</si>
  <si>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</si>
  <si>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</si>
  <si>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</si>
  <si>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</si>
  <si>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</si>
  <si>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</si>
  <si>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</si>
  <si>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</si>
  <si>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</si>
  <si>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</si>
  <si>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</si>
  <si>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</si>
  <si>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</si>
  <si>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</si>
  <si>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</si>
  <si>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</si>
  <si>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</si>
  <si>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</si>
  <si>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</si>
  <si>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</si>
  <si>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</si>
  <si>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</si>
  <si>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</si>
  <si>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</si>
  <si>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</si>
  <si>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</si>
  <si>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</si>
  <si>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</si>
  <si>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</si>
  <si>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</si>
  <si>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</si>
  <si>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</si>
  <si>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</si>
  <si>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</si>
  <si>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</si>
  <si>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</si>
  <si>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</si>
  <si>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</si>
  <si>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</si>
  <si>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</si>
  <si>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</si>
  <si>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</si>
  <si>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</si>
  <si>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</si>
  <si>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</si>
  <si>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</si>
  <si>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</si>
  <si>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</si>
  <si>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</si>
  <si>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</si>
  <si>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</si>
  <si>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</si>
  <si>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</si>
  <si>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</si>
  <si>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</si>
  <si>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</si>
  <si>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</si>
  <si>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</si>
  <si>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</si>
  <si>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</si>
  <si>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</si>
  <si>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</si>
  <si>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</si>
  <si>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</si>
  <si>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</si>
  <si>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</si>
  <si>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</si>
  <si>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</si>
  <si>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</si>
  <si>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</si>
  <si>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</si>
  <si>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</si>
  <si>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</si>
  <si>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</si>
  <si>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</si>
  <si>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</si>
  <si>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</si>
  <si>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</si>
  <si>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</si>
  <si>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</si>
  <si>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</si>
  <si>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</si>
  <si>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</si>
  <si>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</si>
  <si>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</si>
  <si>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</si>
  <si>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</si>
  <si>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</si>
  <si>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</si>
  <si>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</si>
  <si>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</si>
  <si>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</si>
  <si>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</si>
  <si>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</si>
  <si>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</si>
  <si>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</si>
  <si>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</si>
  <si>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</si>
  <si>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</si>
  <si>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</si>
  <si>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</si>
  <si>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</si>
  <si>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</si>
  <si>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</si>
  <si>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</si>
  <si>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</si>
  <si>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</si>
  <si>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</si>
  <si>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</si>
  <si>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</si>
  <si>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</si>
  <si>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</si>
  <si>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</si>
  <si>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</si>
  <si>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</si>
  <si>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</si>
  <si>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</si>
  <si>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</si>
  <si>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</si>
  <si>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</si>
  <si>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</si>
  <si>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</si>
  <si>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</si>
  <si>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</si>
  <si>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</si>
  <si>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</si>
  <si>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</si>
  <si>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</si>
  <si>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</si>
  <si>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</si>
  <si>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</si>
  <si>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</si>
  <si>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</si>
  <si>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</si>
  <si>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</si>
  <si>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</si>
  <si>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</si>
  <si>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</si>
  <si>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</si>
  <si>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</si>
  <si>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</si>
  <si>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</si>
  <si>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</si>
  <si>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</si>
  <si>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</si>
  <si>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</si>
  <si>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</si>
  <si>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</si>
  <si>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</si>
  <si>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</si>
  <si>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</si>
  <si>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</si>
  <si>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</si>
  <si>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</si>
  <si>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</si>
  <si>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</si>
  <si>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</si>
  <si>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</si>
  <si>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</si>
  <si>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</si>
  <si>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</si>
  <si>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</si>
  <si>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</si>
  <si>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</si>
  <si>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</si>
  <si>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</si>
  <si>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</si>
  <si>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</si>
  <si>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</si>
  <si>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</si>
  <si>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</si>
  <si>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</si>
  <si>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</si>
  <si>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</si>
  <si>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</si>
  <si>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</si>
  <si>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</si>
  <si>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</si>
  <si>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</si>
  <si>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</si>
  <si>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</si>
  <si>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</si>
  <si>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</si>
  <si>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</si>
  <si>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</si>
  <si>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</si>
  <si>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</si>
  <si>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</si>
  <si>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</si>
  <si>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</si>
  <si>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</si>
  <si>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</si>
  <si>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</si>
  <si>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</si>
  <si>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</si>
  <si>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</si>
  <si>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</si>
  <si>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</si>
  <si>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</si>
  <si>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</si>
  <si>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</si>
  <si>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</si>
  <si>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</si>
  <si>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</si>
  <si>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</si>
  <si>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</si>
  <si>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</si>
  <si>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</si>
  <si>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</si>
  <si>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</si>
  <si>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</si>
  <si>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</si>
  <si>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</si>
  <si>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</si>
  <si>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</si>
  <si>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</si>
  <si>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</si>
  <si>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</si>
  <si>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</si>
  <si>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</si>
  <si>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</si>
  <si>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</si>
  <si>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</si>
  <si>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</si>
  <si>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</si>
  <si>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</si>
  <si>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</si>
  <si>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</si>
  <si>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</si>
  <si>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</si>
  <si>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</si>
  <si>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</si>
  <si>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</si>
  <si>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</si>
  <si>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</si>
  <si>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</si>
  <si>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</si>
  <si>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</si>
  <si>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</si>
  <si>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</si>
  <si>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</si>
  <si>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</si>
  <si>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</si>
  <si>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</si>
  <si>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</si>
  <si>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</si>
  <si>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</si>
  <si>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</si>
  <si>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</si>
  <si>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</si>
  <si>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</si>
  <si>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</si>
  <si>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</si>
  <si>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</si>
  <si>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</si>
  <si>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</si>
  <si>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</si>
  <si>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</si>
  <si>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</si>
  <si>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</si>
  <si>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</si>
  <si>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</si>
  <si>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</si>
  <si>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</si>
  <si>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</si>
  <si>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</si>
  <si>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</si>
  <si>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</si>
  <si>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</si>
  <si>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</si>
  <si>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</si>
  <si>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</si>
  <si>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</si>
  <si>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</si>
  <si>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</si>
  <si>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</si>
  <si>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</si>
  <si>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</si>
  <si>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</si>
  <si>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</si>
  <si>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</si>
  <si>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</si>
  <si>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</si>
  <si>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</si>
  <si>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</si>
  <si>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</si>
  <si>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</si>
  <si>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</si>
  <si>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</si>
  <si>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</si>
  <si>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</si>
  <si>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</si>
  <si>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</si>
  <si>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</si>
  <si>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</si>
  <si>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</si>
  <si>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</si>
  <si>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</si>
  <si>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</si>
  <si>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</si>
  <si>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</si>
  <si>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</si>
  <si>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</si>
  <si>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</si>
  <si>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</si>
  <si>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</si>
  <si>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</si>
  <si>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</si>
  <si>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</si>
  <si>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</si>
  <si>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</si>
  <si>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</si>
  <si>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</si>
  <si>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</si>
  <si>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</si>
  <si>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</si>
  <si>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</si>
  <si>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</si>
  <si>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</si>
  <si>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</si>
  <si>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</si>
  <si>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</si>
  <si>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</si>
  <si>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</si>
  <si>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</si>
  <si>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</si>
  <si>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</si>
  <si>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</si>
  <si>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</si>
  <si>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</si>
  <si>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</si>
  <si>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</si>
  <si>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</si>
  <si>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</si>
  <si>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</si>
  <si>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</si>
  <si>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</si>
  <si>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</si>
  <si>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</si>
  <si>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</si>
  <si>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</si>
  <si>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</si>
  <si>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</si>
  <si>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</si>
  <si>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</si>
  <si>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</si>
  <si>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</si>
  <si>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</si>
  <si>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</si>
  <si>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</si>
  <si>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</si>
  <si>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</si>
  <si>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</si>
  <si>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</si>
  <si>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</si>
  <si>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</si>
  <si>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</si>
  <si>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</si>
  <si>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</si>
  <si>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</si>
  <si>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</si>
  <si>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</si>
  <si>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</si>
  <si>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</si>
  <si>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</si>
  <si>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</si>
  <si>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</si>
  <si>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</si>
  <si>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</si>
  <si>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</si>
  <si>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</si>
  <si>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</si>
  <si>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</si>
  <si>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</si>
  <si>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</si>
  <si>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</si>
  <si>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</si>
  <si>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</si>
  <si>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</si>
  <si>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</si>
  <si>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</si>
  <si>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</si>
  <si>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</si>
  <si>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</si>
  <si>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</si>
  <si>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</si>
  <si>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</si>
  <si>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</si>
  <si>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</si>
  <si>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</si>
  <si>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</si>
  <si>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</si>
  <si>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</si>
  <si>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</si>
  <si>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</si>
  <si>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</si>
  <si>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</si>
  <si>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</si>
  <si>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</si>
  <si>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</si>
  <si>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</si>
  <si>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</si>
  <si>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</si>
  <si>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</si>
  <si>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</si>
  <si>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</si>
  <si>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</si>
  <si>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</si>
  <si>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</si>
  <si>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</si>
  <si>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</si>
  <si>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</si>
  <si>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</si>
  <si>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</si>
  <si>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</si>
  <si>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</si>
  <si>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</si>
  <si>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</si>
  <si>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</si>
  <si>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</si>
  <si>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</si>
  <si>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</si>
  <si>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</si>
  <si>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</si>
  <si>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</si>
  <si>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</si>
  <si>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</si>
  <si>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</si>
  <si>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</si>
  <si>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</si>
  <si>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</si>
  <si>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</si>
  <si>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</si>
  <si>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</si>
  <si>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</si>
  <si>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</si>
  <si>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</si>
  <si>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</si>
  <si>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</si>
  <si>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</si>
  <si>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</si>
  <si>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</si>
  <si>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</si>
  <si>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</si>
  <si>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</si>
  <si>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</si>
  <si>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</si>
  <si>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</si>
  <si>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</si>
  <si>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</si>
  <si>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</si>
  <si>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</si>
  <si>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</si>
  <si>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</si>
  <si>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</si>
  <si>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</si>
  <si>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</si>
  <si>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</si>
  <si>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</si>
  <si>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</si>
  <si>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</si>
  <si>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</si>
  <si>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</si>
  <si>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</si>
  <si>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</si>
  <si>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</si>
  <si>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</si>
  <si>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</si>
  <si>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</si>
  <si>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</si>
  <si>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</si>
  <si>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</si>
  <si>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</si>
  <si>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</si>
  <si>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</si>
  <si>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</si>
  <si>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</si>
  <si>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</si>
  <si>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</si>
  <si>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</si>
  <si>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</si>
  <si>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</si>
  <si>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</si>
  <si>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</si>
  <si>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</si>
  <si>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</si>
  <si>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</si>
  <si>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</si>
  <si>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</si>
  <si>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</si>
  <si>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</si>
  <si>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</si>
  <si>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</si>
  <si>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</si>
  <si>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</si>
  <si>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</si>
  <si>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</si>
  <si>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</si>
  <si>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</si>
  <si>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</si>
  <si>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</si>
  <si>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</si>
  <si>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</si>
  <si>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</si>
  <si>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</si>
  <si>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</si>
  <si>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</si>
  <si>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</si>
  <si>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</si>
  <si>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</si>
  <si>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</si>
  <si>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</si>
  <si>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</si>
  <si>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</si>
  <si>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</si>
  <si>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</si>
  <si>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</si>
  <si>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</si>
  <si>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</si>
  <si>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</si>
  <si>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</si>
  <si>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</si>
  <si>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</si>
  <si>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</si>
  <si>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</si>
  <si>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</si>
  <si>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</si>
  <si>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</si>
  <si>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</si>
  <si>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</si>
  <si>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</si>
  <si>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</si>
  <si>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</si>
  <si>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</si>
  <si>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</si>
  <si>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</si>
  <si>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</si>
  <si>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</si>
  <si>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</si>
  <si>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</si>
  <si>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</si>
  <si>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</si>
  <si>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</si>
  <si>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</si>
  <si>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</si>
  <si>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</si>
  <si>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</si>
  <si>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</si>
  <si>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</si>
  <si>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</si>
  <si>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</si>
  <si>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</si>
  <si>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</si>
  <si>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</si>
  <si>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</si>
  <si>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</si>
  <si>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</si>
  <si>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</si>
  <si>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</si>
  <si>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</si>
  <si>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</si>
  <si>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</si>
  <si>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</si>
  <si>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</si>
  <si>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</si>
  <si>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</si>
  <si>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</si>
  <si>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</si>
  <si>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</si>
  <si>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</si>
  <si>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</si>
  <si>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</si>
  <si>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</si>
  <si>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</si>
  <si>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</si>
  <si>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</si>
  <si>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</si>
  <si>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</si>
  <si>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</si>
  <si>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</si>
  <si>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</si>
  <si>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</si>
  <si>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</si>
  <si>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</si>
  <si>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</si>
  <si>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</si>
  <si>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</si>
  <si>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</si>
  <si>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</si>
  <si>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</si>
  <si>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</si>
  <si>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</si>
  <si>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</si>
  <si>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</si>
  <si>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</si>
  <si>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</si>
  <si>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</si>
  <si>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</si>
  <si>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</si>
  <si>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</si>
  <si>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</si>
  <si>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</si>
  <si>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</si>
  <si>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</si>
  <si>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</si>
  <si>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</si>
  <si>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</si>
  <si>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</si>
  <si>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</si>
  <si>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</si>
  <si>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</si>
  <si>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</si>
  <si>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</si>
  <si>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</si>
  <si>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</si>
  <si>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</si>
  <si>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</si>
  <si>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</si>
  <si>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</si>
  <si>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</si>
  <si>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</si>
  <si>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</si>
  <si>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</si>
  <si>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</si>
  <si>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</si>
  <si>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</si>
  <si>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</si>
  <si>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</si>
  <si>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</si>
  <si>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</si>
  <si>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</si>
  <si>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</si>
  <si>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</si>
  <si>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</si>
  <si>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</si>
  <si>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</si>
  <si>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</si>
  <si>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</si>
  <si>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</si>
  <si>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</si>
  <si>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</si>
  <si>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</si>
  <si>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</si>
  <si>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</si>
  <si>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</si>
  <si>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</si>
  <si>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</si>
  <si>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</si>
  <si>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</si>
  <si>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</si>
  <si>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</si>
  <si>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</si>
  <si>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</si>
  <si>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</si>
  <si>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</si>
  <si>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</si>
  <si>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</si>
  <si>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</si>
  <si>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</si>
  <si>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</si>
  <si>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</si>
  <si>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</si>
  <si>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</si>
  <si>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</si>
  <si>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</si>
  <si>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</si>
  <si>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</si>
  <si>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</si>
  <si>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</si>
  <si>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</si>
  <si>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</si>
  <si>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</si>
  <si>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</si>
  <si>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</si>
  <si>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</si>
  <si>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</si>
  <si>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</si>
  <si>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</si>
  <si>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</si>
  <si>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</si>
  <si>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</si>
  <si>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</si>
  <si>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</si>
  <si>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</si>
  <si>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</si>
  <si>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</si>
  <si>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</si>
  <si>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</si>
  <si>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</si>
  <si>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</si>
  <si>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</si>
  <si>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</si>
  <si>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</si>
  <si>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</si>
  <si>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</si>
  <si>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</si>
  <si>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</si>
  <si>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</si>
  <si>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</si>
  <si>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</si>
  <si>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</si>
  <si>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</si>
  <si>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</si>
  <si>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</si>
  <si>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</si>
  <si>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</si>
  <si>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</si>
  <si>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</si>
  <si>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</si>
  <si>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</si>
  <si>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</si>
  <si>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</si>
  <si>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</si>
  <si>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</si>
  <si>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</si>
  <si>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</si>
  <si>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</si>
  <si>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</si>
  <si>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</si>
  <si>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</si>
  <si>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</si>
  <si>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</si>
  <si>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</si>
  <si>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</si>
  <si>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</si>
  <si>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</si>
  <si>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</si>
  <si>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</si>
  <si>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</si>
  <si>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</si>
  <si>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</si>
  <si>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</si>
  <si>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</si>
  <si>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</si>
  <si>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</si>
  <si>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</si>
  <si>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</si>
  <si>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</si>
  <si>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</si>
  <si>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</si>
  <si>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</si>
  <si>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</si>
  <si>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</si>
  <si>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</si>
  <si>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</si>
  <si>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</si>
  <si>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</si>
  <si>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</si>
  <si>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</si>
  <si>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</si>
  <si>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</si>
  <si>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</si>
  <si>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</si>
  <si>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</si>
  <si>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</si>
  <si>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</si>
  <si>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</si>
  <si>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</si>
  <si>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</si>
  <si>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</si>
  <si>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</si>
  <si>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</si>
  <si>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</si>
  <si>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</si>
  <si>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</si>
  <si>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</si>
  <si>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</si>
  <si>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</si>
  <si>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</si>
  <si>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</si>
  <si>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</si>
  <si>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</si>
  <si>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</si>
  <si>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</si>
  <si>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</si>
  <si>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</si>
  <si>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</si>
  <si>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</si>
  <si>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</si>
  <si>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</si>
  <si>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</si>
  <si>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</si>
  <si>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</si>
  <si>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</si>
  <si>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</si>
  <si>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</si>
  <si>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</si>
  <si>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</si>
  <si>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</si>
  <si>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</si>
  <si>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</si>
  <si>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</si>
  <si>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</si>
  <si>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</si>
  <si>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</si>
  <si>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</si>
  <si>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</si>
  <si>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</si>
  <si>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</si>
  <si>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</si>
  <si>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</si>
  <si>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</si>
  <si>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</si>
  <si>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</si>
  <si>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</si>
  <si>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</si>
  <si>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</si>
  <si>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</si>
  <si>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</si>
  <si>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</si>
  <si>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</si>
  <si>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</si>
  <si>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</si>
  <si>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</si>
  <si>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</si>
  <si>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</si>
  <si>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</si>
  <si>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</si>
  <si>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</si>
  <si>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</si>
  <si>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</si>
  <si>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</si>
  <si>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</si>
  <si>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</si>
  <si>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</si>
  <si>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</si>
  <si>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</si>
  <si>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</si>
  <si>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</si>
  <si>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</si>
  <si>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</si>
  <si>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</si>
  <si>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</si>
  <si>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</si>
  <si>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</si>
  <si>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</si>
  <si>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</si>
  <si>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</si>
  <si>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</si>
  <si>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</si>
  <si>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</si>
  <si>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</si>
  <si>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</si>
  <si>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</si>
  <si>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</si>
  <si>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</si>
  <si>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</si>
  <si>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</si>
  <si>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</si>
  <si>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</si>
  <si>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</si>
  <si>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</si>
  <si>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</si>
  <si>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</si>
  <si>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</si>
  <si>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</si>
  <si>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</si>
  <si>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</si>
  <si>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</si>
  <si>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</si>
  <si>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</si>
  <si>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</si>
  <si>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</si>
  <si>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</si>
  <si>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</si>
  <si>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</si>
  <si>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</si>
  <si>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</si>
  <si>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</si>
  <si>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</si>
  <si>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</si>
  <si>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</si>
  <si>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</si>
  <si>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</si>
  <si>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</si>
  <si>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</si>
  <si>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</si>
  <si>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</si>
  <si>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</si>
  <si>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</si>
  <si>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</si>
  <si>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</si>
  <si>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</si>
  <si>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</si>
  <si>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</si>
  <si>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</si>
  <si>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</si>
  <si>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</si>
  <si>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</si>
  <si>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</si>
  <si>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</si>
  <si>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</si>
  <si>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</si>
  <si>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</si>
  <si>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</si>
  <si>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</si>
  <si>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</si>
  <si>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</si>
  <si>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</si>
  <si>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</si>
  <si>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</si>
  <si>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</si>
  <si>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</si>
  <si>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</si>
  <si>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</si>
  <si>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</si>
  <si>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</si>
  <si>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</si>
  <si>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</si>
  <si>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</si>
  <si>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</si>
  <si>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</si>
  <si>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</si>
  <si>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</si>
  <si>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</si>
  <si>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</si>
  <si>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</si>
  <si>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</si>
  <si>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</si>
  <si>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</si>
  <si>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</si>
  <si>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</si>
  <si>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</si>
  <si>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</si>
  <si>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</si>
  <si>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</si>
  <si>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</si>
  <si>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</si>
  <si>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</si>
  <si>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</si>
  <si>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</si>
  <si>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</si>
  <si>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</si>
  <si>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</si>
  <si>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</si>
  <si>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</si>
  <si>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</si>
  <si>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</si>
  <si>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</si>
  <si>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</si>
  <si>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</si>
  <si>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</si>
  <si>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</si>
  <si>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</si>
  <si>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</si>
  <si>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</si>
  <si>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</si>
  <si>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</si>
  <si>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</si>
  <si>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</si>
  <si>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</si>
  <si>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</si>
  <si>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</si>
  <si>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</si>
  <si>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</si>
  <si>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</si>
  <si>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</si>
  <si>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</si>
  <si>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</si>
  <si>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</si>
  <si>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</si>
  <si>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</si>
  <si>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</si>
  <si>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</si>
  <si>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</si>
  <si>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</si>
  <si>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</si>
  <si>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</si>
  <si>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</si>
  <si>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</si>
  <si>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</si>
  <si>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</si>
  <si>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</si>
  <si>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</si>
  <si>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</si>
  <si>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</si>
  <si>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</si>
  <si>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</si>
  <si>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</si>
  <si>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</si>
  <si>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</si>
  <si>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</si>
  <si>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</si>
  <si>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</si>
  <si>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</si>
  <si>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</si>
  <si>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</si>
  <si>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</si>
  <si>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</si>
  <si>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</si>
  <si>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</si>
  <si>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</si>
  <si>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</si>
  <si>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</si>
  <si>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</si>
  <si>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</si>
  <si>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</si>
  <si>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</si>
  <si>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</si>
  <si>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</si>
  <si>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</si>
  <si>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</si>
  <si>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</si>
  <si>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</si>
  <si>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</si>
  <si>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</si>
  <si>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</si>
  <si>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</si>
  <si>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</si>
  <si>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</si>
  <si>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</si>
  <si>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</si>
  <si>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</si>
  <si>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</si>
  <si>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</si>
  <si>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</si>
  <si>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</si>
  <si>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</si>
  <si>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</si>
  <si>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</si>
  <si>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</si>
  <si>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</si>
  <si>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</si>
  <si>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</si>
  <si>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</si>
  <si>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</si>
  <si>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</si>
  <si>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</si>
  <si>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</si>
  <si>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</si>
  <si>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</si>
  <si>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</si>
  <si>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</si>
  <si>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</si>
  <si>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</si>
  <si>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</si>
  <si>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</si>
  <si>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</si>
  <si>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</si>
  <si>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</si>
  <si>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</si>
  <si>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</si>
  <si>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</si>
  <si>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</si>
  <si>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</si>
  <si>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</si>
  <si>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</si>
  <si>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</si>
  <si>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</si>
  <si>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</si>
  <si>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</si>
  <si>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</si>
  <si>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</si>
  <si>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</si>
  <si>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</si>
  <si>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</si>
  <si>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</si>
  <si>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</si>
  <si>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</si>
  <si>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</si>
  <si>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</si>
  <si>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</si>
  <si>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</si>
  <si>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</si>
  <si>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</si>
  <si>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</si>
  <si>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</si>
  <si>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</si>
  <si>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</si>
  <si>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</si>
  <si>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</si>
  <si>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</si>
  <si>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</si>
  <si>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</si>
  <si>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</si>
  <si>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</si>
  <si>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</si>
  <si>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</si>
  <si>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</si>
  <si>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</si>
  <si>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</si>
  <si>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</si>
  <si>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</si>
  <si>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</si>
  <si>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</si>
  <si>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</si>
  <si>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</si>
  <si>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</si>
  <si>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</si>
  <si>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</si>
  <si>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</si>
  <si>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</si>
  <si>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</si>
  <si>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</si>
  <si>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</si>
  <si>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</si>
  <si>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</si>
  <si>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</si>
  <si>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</si>
  <si>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</si>
  <si>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</si>
  <si>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</si>
  <si>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</si>
  <si>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</si>
  <si>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</si>
  <si>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</si>
  <si>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</si>
  <si>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</si>
  <si>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</si>
  <si>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</si>
  <si>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</si>
  <si>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</si>
  <si>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</si>
  <si>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</si>
  <si>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</si>
  <si>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</si>
  <si>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</si>
  <si>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</si>
  <si>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</si>
  <si>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</si>
  <si>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</si>
  <si>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</si>
  <si>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</si>
  <si>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</si>
  <si>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</si>
  <si>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</si>
  <si>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</si>
  <si>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</si>
  <si>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</si>
  <si>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</si>
  <si>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</si>
  <si>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</si>
  <si>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</si>
  <si>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</si>
  <si>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</si>
  <si>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</si>
  <si>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</si>
  <si>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</si>
  <si>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</si>
  <si>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</si>
  <si>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</si>
  <si>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</si>
  <si>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</si>
  <si>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</si>
  <si>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</si>
  <si>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</si>
  <si>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</si>
  <si>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</si>
  <si>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</si>
  <si>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</si>
  <si>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</si>
  <si>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</si>
  <si>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</si>
  <si>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</si>
  <si>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</si>
  <si>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</si>
  <si>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</si>
  <si>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</si>
  <si>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</si>
  <si>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</si>
  <si>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</si>
  <si>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</si>
  <si>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</si>
  <si>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</si>
  <si>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</si>
  <si>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</si>
  <si>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</si>
  <si>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</si>
  <si>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</si>
  <si>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</si>
  <si>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</si>
  <si>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</si>
  <si>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</si>
  <si>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</si>
  <si>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</si>
  <si>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</si>
  <si>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</si>
  <si>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</si>
  <si>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</si>
  <si>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</si>
  <si>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</si>
  <si>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</si>
  <si>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</si>
  <si>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</si>
  <si>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</si>
  <si>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</si>
  <si>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</si>
  <si>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</si>
  <si>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</si>
  <si>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</si>
  <si>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</si>
  <si>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</si>
  <si>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</si>
  <si>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</si>
  <si>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</si>
  <si>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</si>
  <si>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</si>
  <si>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</si>
  <si>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</si>
  <si>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</si>
  <si>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</si>
  <si>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</si>
  <si>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</si>
  <si>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</si>
  <si>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</si>
  <si>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</si>
  <si>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</si>
  <si>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</si>
  <si>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</si>
  <si>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</si>
  <si>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</si>
  <si>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</si>
  <si>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</si>
  <si>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</si>
  <si>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</si>
  <si>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</si>
  <si>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</si>
  <si>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</si>
  <si>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</si>
  <si>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</si>
  <si>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</si>
  <si>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</si>
  <si>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</si>
  <si>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</si>
  <si>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</si>
  <si>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</si>
  <si>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</si>
  <si>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</si>
  <si>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</si>
  <si>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</si>
  <si>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</si>
  <si>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</si>
  <si>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</si>
  <si>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</si>
  <si>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</si>
  <si>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</si>
  <si>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</si>
  <si>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</si>
  <si>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</si>
  <si>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</si>
  <si>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</si>
  <si>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</si>
  <si>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</si>
  <si>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</si>
  <si>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</si>
  <si>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</si>
  <si>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</si>
  <si>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</si>
  <si>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</si>
  <si>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</si>
  <si>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</si>
  <si>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</si>
  <si>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</si>
  <si>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</si>
  <si>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</si>
  <si>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</si>
  <si>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</si>
  <si>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</si>
  <si>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</si>
  <si>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</si>
  <si>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</si>
  <si>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</si>
  <si>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</si>
  <si>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</si>
  <si>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</si>
  <si>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</si>
  <si>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</si>
  <si>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</si>
  <si>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</si>
  <si>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</si>
  <si>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</si>
  <si>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</si>
  <si>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</si>
  <si>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</si>
  <si>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</si>
  <si>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</si>
  <si>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</si>
  <si>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</si>
  <si>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</si>
  <si>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</si>
  <si>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</si>
  <si>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</si>
  <si>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</si>
  <si>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</si>
  <si>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</si>
  <si>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</si>
  <si>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</si>
  <si>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</si>
  <si>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</si>
  <si>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</si>
  <si>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</si>
  <si>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</si>
  <si>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</si>
  <si>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</si>
  <si>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</si>
  <si>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</si>
  <si>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</si>
  <si>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</si>
  <si>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</si>
  <si>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</si>
  <si>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</si>
  <si>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</si>
  <si>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</si>
  <si>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</si>
  <si>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</si>
  <si>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</si>
  <si>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</si>
  <si>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</si>
  <si>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</si>
  <si>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</si>
  <si>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</si>
  <si>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</si>
  <si>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</si>
  <si>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</si>
  <si>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</si>
  <si>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</si>
  <si>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</si>
  <si>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</si>
  <si>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</si>
  <si>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</si>
  <si>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</si>
  <si>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</si>
  <si>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</si>
  <si>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</si>
  <si>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</si>
  <si>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</si>
  <si>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</si>
  <si>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</si>
  <si>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</si>
  <si>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</si>
  <si>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</si>
  <si>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</si>
  <si>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</si>
  <si>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</si>
  <si>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</si>
  <si>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</si>
  <si>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</si>
  <si>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</si>
  <si>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</si>
  <si>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</si>
  <si>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</si>
  <si>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</si>
  <si>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</si>
  <si>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</si>
  <si>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</si>
  <si>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</si>
  <si>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</si>
  <si>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</si>
  <si>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</si>
  <si>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</si>
  <si>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</si>
  <si>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</si>
  <si>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</si>
  <si>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</si>
  <si>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</si>
  <si>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</si>
  <si>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</si>
  <si>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</si>
  <si>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</si>
  <si>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</si>
  <si>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</si>
  <si>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</si>
  <si>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</si>
  <si>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</si>
  <si>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</si>
  <si>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</si>
  <si>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</si>
  <si>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</si>
  <si>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</si>
  <si>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</si>
  <si>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</si>
  <si>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</si>
  <si>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</si>
  <si>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</si>
  <si>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</si>
  <si>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</si>
  <si>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</si>
  <si>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</si>
  <si>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</si>
  <si>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</si>
  <si>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</si>
  <si>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</si>
  <si>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</si>
  <si>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</si>
  <si>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</si>
  <si>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</si>
  <si>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</si>
  <si>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</si>
  <si>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</si>
  <si>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</si>
  <si>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</si>
  <si>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</si>
  <si>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</si>
  <si>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</si>
  <si>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</si>
  <si>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</si>
  <si>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</si>
  <si>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</si>
  <si>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</si>
  <si>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</si>
  <si>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</si>
  <si>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</si>
  <si>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</si>
  <si>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</si>
  <si>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</si>
  <si>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</si>
  <si>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</si>
  <si>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</si>
  <si>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</si>
  <si>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</si>
  <si>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</si>
  <si>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</si>
  <si>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</si>
  <si>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</si>
  <si>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</si>
  <si>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</si>
  <si>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</si>
  <si>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</si>
  <si>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</si>
  <si>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</si>
  <si>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</si>
  <si>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</si>
  <si>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</si>
  <si>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</si>
  <si>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</si>
  <si>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</si>
  <si>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</si>
  <si>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</si>
  <si>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</si>
  <si>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</si>
  <si>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</si>
  <si>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</si>
  <si>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</si>
  <si>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</si>
  <si>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</si>
  <si>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</si>
  <si>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</si>
  <si>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</si>
  <si>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</si>
  <si>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</si>
  <si>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</si>
  <si>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</si>
  <si>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</si>
  <si>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</si>
  <si>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</si>
  <si>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</si>
  <si>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</si>
  <si>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</si>
  <si>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</si>
  <si>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</si>
  <si>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</si>
  <si>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</si>
  <si>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</si>
  <si>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</si>
  <si>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</si>
  <si>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</si>
  <si>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</si>
  <si>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</si>
  <si>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</si>
  <si>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</si>
  <si>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</si>
  <si>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</si>
  <si>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</si>
  <si>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</si>
  <si>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</si>
  <si>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</si>
  <si>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</si>
  <si>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</si>
  <si>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</si>
  <si>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</si>
  <si>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</si>
  <si>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</si>
  <si>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</si>
  <si>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</si>
  <si>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</si>
  <si>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</si>
  <si>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</si>
  <si>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</si>
  <si>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</si>
  <si>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</si>
  <si>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</si>
  <si>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</si>
  <si>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</si>
  <si>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</si>
  <si>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</si>
  <si>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</si>
  <si>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</si>
  <si>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</si>
  <si>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</si>
  <si>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</si>
  <si>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</si>
  <si>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</si>
  <si>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</si>
  <si>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</si>
  <si>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</si>
  <si>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</si>
  <si>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</si>
  <si>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</si>
  <si>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</si>
  <si>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</si>
  <si>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</si>
  <si>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</si>
  <si>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</si>
  <si>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</si>
  <si>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</si>
  <si>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</si>
  <si>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</si>
  <si>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</si>
  <si>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</si>
  <si>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</si>
  <si>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</si>
  <si>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</si>
  <si>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</si>
  <si>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</si>
  <si>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</si>
  <si>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</si>
  <si>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</si>
  <si>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</si>
  <si>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</si>
  <si>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</si>
  <si>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</si>
  <si>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</si>
  <si>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</si>
  <si>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</si>
  <si>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</si>
  <si>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</si>
  <si>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</si>
  <si>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</si>
  <si>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</si>
  <si>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</si>
  <si>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</si>
  <si>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</si>
  <si>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</si>
  <si>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</si>
  <si>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</si>
  <si>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</si>
  <si>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</si>
  <si>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</si>
  <si>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</si>
  <si>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</si>
  <si>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</si>
  <si>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</si>
  <si>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</si>
  <si>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</si>
  <si>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</si>
  <si>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</si>
  <si>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</si>
  <si>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</si>
  <si>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</si>
  <si>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</si>
  <si>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</si>
  <si>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</si>
  <si>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</si>
  <si>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</si>
  <si>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</si>
  <si>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</si>
  <si>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</si>
  <si>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</si>
  <si>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</si>
  <si>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</si>
  <si>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</si>
  <si>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</si>
  <si>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</si>
  <si>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</si>
  <si>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</si>
  <si>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</si>
  <si>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</si>
  <si>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</si>
  <si>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</si>
  <si>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</si>
  <si>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</si>
  <si>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</si>
  <si>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</si>
  <si>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</si>
  <si>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</si>
  <si>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</si>
  <si>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</si>
  <si>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</si>
  <si>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</si>
  <si>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</si>
  <si>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</si>
  <si>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</si>
  <si>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</si>
  <si>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</si>
  <si>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</si>
  <si>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</si>
  <si>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</si>
  <si>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</si>
  <si>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</si>
  <si>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</si>
  <si>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</si>
  <si>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</si>
  <si>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</si>
  <si>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</si>
  <si>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</si>
  <si>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</si>
  <si>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</si>
  <si>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</si>
  <si>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</si>
  <si>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</si>
  <si>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</si>
  <si>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</si>
  <si>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</si>
  <si>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</si>
  <si>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</si>
  <si>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</si>
  <si>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</si>
  <si>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</si>
  <si>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</si>
  <si>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</si>
  <si>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</si>
  <si>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</si>
  <si>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</si>
  <si>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</si>
  <si>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</si>
  <si>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</si>
  <si>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</si>
  <si>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</si>
  <si>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</si>
  <si>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</si>
  <si>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</si>
  <si>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</si>
  <si>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</si>
  <si>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</si>
  <si>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</si>
  <si>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</si>
  <si>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</si>
  <si>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</si>
  <si>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</si>
  <si>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</si>
  <si>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</si>
  <si>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</si>
  <si>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</si>
  <si>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</si>
  <si>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</si>
  <si>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</si>
  <si>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</si>
  <si>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</si>
  <si>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</si>
  <si>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</si>
  <si>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</si>
  <si>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</si>
  <si>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</si>
  <si>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</si>
  <si>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</si>
  <si>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</si>
  <si>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</si>
  <si>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</si>
  <si>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</si>
  <si>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</si>
  <si>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</si>
  <si>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</si>
  <si>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</si>
  <si>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</si>
  <si>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</si>
  <si>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</si>
  <si>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</si>
  <si>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</si>
  <si>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</si>
  <si>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</si>
  <si>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</si>
  <si>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</si>
  <si>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</si>
  <si>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</si>
  <si>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</si>
  <si>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</si>
  <si>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</si>
  <si>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</si>
  <si>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</si>
  <si>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</si>
  <si>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</si>
  <si>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</si>
  <si>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</si>
  <si>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</si>
  <si>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</si>
  <si>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</si>
  <si>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</si>
  <si>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</si>
  <si>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</si>
  <si>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</si>
  <si>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</si>
  <si>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</si>
  <si>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</si>
  <si>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</si>
  <si>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</si>
  <si>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</si>
  <si>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</si>
  <si>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</si>
  <si>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</si>
  <si>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</si>
  <si>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</si>
  <si>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</si>
  <si>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</si>
  <si>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</si>
  <si>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</si>
  <si>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</si>
  <si>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</si>
  <si>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</si>
  <si>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</si>
  <si>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</si>
  <si>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</si>
  <si>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</si>
  <si>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</si>
  <si>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</si>
  <si>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</si>
  <si>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</si>
  <si>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</si>
  <si>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</si>
  <si>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</si>
  <si>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</si>
  <si>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</si>
  <si>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</si>
  <si>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</si>
  <si>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</si>
  <si>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</si>
  <si>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</si>
  <si>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</si>
  <si>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</si>
  <si>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</si>
  <si>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</si>
  <si>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</si>
  <si>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</si>
  <si>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</si>
  <si>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</si>
  <si>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</si>
  <si>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</si>
  <si>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</si>
  <si>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</si>
  <si>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</si>
  <si>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</si>
  <si>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</si>
  <si>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</si>
  <si>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</si>
  <si>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</si>
  <si>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</si>
  <si>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</si>
  <si>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</si>
  <si>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</si>
  <si>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</si>
  <si>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</si>
  <si>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</si>
  <si>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</si>
  <si>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</si>
  <si>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</si>
  <si>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</si>
  <si>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</si>
  <si>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</si>
  <si>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</si>
  <si>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</si>
  <si>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</si>
  <si>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</si>
  <si>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</si>
  <si>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</si>
  <si>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</si>
  <si>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</si>
  <si>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</si>
  <si>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</si>
  <si>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</si>
  <si>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</si>
  <si>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</si>
  <si>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</si>
  <si>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</si>
  <si>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</si>
  <si>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</si>
  <si>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</si>
  <si>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</si>
  <si>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</si>
  <si>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</si>
  <si>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</si>
  <si>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</si>
  <si>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</si>
  <si>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</si>
  <si>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</si>
  <si>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</si>
  <si>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</si>
  <si>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</si>
  <si>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</si>
  <si>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</si>
  <si>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</si>
  <si>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</si>
  <si>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</si>
  <si>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</si>
  <si>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</si>
  <si>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</si>
  <si>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</si>
  <si>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</si>
  <si>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</si>
  <si>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</si>
  <si>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</si>
  <si>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</si>
  <si>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</si>
  <si>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</si>
  <si>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</si>
  <si>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</si>
  <si>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</si>
  <si>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</si>
  <si>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</si>
  <si>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</si>
  <si>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</si>
  <si>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</si>
  <si>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</si>
  <si>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</si>
  <si>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</si>
  <si>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</si>
  <si>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</si>
  <si>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</si>
  <si>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</si>
  <si>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</si>
  <si>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</si>
  <si>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</si>
  <si>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</si>
  <si>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</si>
  <si>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</si>
  <si>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</si>
  <si>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</si>
  <si>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</si>
  <si>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</si>
  <si>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</si>
  <si>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</si>
  <si>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</si>
  <si>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</si>
  <si>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</si>
  <si>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</si>
  <si>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</si>
  <si>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</si>
  <si>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</si>
  <si>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</si>
  <si>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</si>
  <si>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</si>
  <si>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</si>
  <si>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</si>
  <si>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</si>
  <si>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</si>
  <si>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</si>
  <si>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</si>
  <si>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</si>
  <si>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</si>
  <si>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</si>
  <si>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</si>
  <si>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</si>
  <si>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</si>
  <si>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</si>
  <si>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</si>
  <si>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</si>
  <si>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</si>
  <si>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</si>
  <si>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</si>
  <si>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</si>
  <si>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</si>
  <si>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</si>
  <si>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</si>
  <si>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</si>
  <si>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</si>
  <si>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</si>
  <si>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</si>
  <si>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</si>
  <si>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</si>
  <si>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</si>
  <si>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</si>
  <si>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</si>
  <si>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</si>
  <si>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</si>
  <si>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</si>
  <si>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</si>
  <si>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</si>
  <si>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</si>
  <si>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</si>
  <si>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</si>
  <si>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</si>
  <si>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</si>
  <si>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</si>
  <si>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</si>
  <si>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</si>
  <si>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</si>
  <si>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</si>
  <si>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</si>
  <si>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</si>
  <si>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</si>
  <si>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</si>
  <si>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</si>
  <si>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</si>
  <si>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</si>
  <si>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</si>
  <si>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</si>
  <si>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</si>
  <si>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</si>
  <si>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</si>
  <si>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</si>
  <si>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</si>
  <si>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</si>
  <si>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</si>
  <si>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</si>
  <si>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</si>
  <si>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</si>
  <si>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</si>
  <si>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</si>
  <si>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</si>
  <si>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</si>
  <si>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</si>
  <si>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</si>
  <si>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</si>
  <si>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</si>
  <si>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</si>
  <si>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</si>
  <si>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</si>
  <si>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</si>
  <si>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</si>
  <si>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</si>
  <si>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</si>
  <si>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</si>
  <si>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</si>
  <si>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</si>
  <si>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</si>
  <si>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</si>
  <si>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</si>
  <si>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</si>
  <si>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</si>
  <si>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</si>
  <si>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</si>
  <si>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</si>
  <si>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</si>
  <si>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</si>
  <si>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</si>
  <si>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</si>
  <si>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</si>
  <si>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</si>
  <si>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</si>
  <si>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</si>
  <si>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</si>
  <si>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</si>
  <si>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</si>
  <si>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</si>
  <si>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</si>
  <si>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</si>
  <si>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</si>
  <si>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</si>
  <si>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</si>
  <si>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</si>
  <si>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</si>
  <si>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</si>
  <si>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</si>
  <si>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</si>
  <si>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</si>
  <si>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</si>
  <si>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</si>
  <si>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</si>
  <si>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</si>
  <si>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</si>
  <si>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</si>
  <si>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</si>
  <si>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</si>
  <si>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</si>
  <si>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</si>
  <si>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</si>
  <si>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</si>
  <si>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</si>
  <si>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</si>
  <si>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</si>
  <si>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</si>
  <si>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</si>
  <si>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</si>
  <si>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</si>
  <si>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</si>
  <si>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</si>
  <si>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</si>
  <si>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</si>
  <si>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</si>
  <si>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</si>
  <si>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</si>
  <si>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</si>
  <si>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</si>
  <si>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</si>
  <si>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</si>
  <si>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</si>
  <si>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</si>
  <si>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</si>
  <si>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</si>
  <si>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</si>
  <si>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</si>
  <si>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</si>
  <si>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</si>
  <si>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</si>
  <si>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</si>
  <si>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</si>
  <si>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</si>
  <si>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</si>
  <si>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</si>
  <si>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</si>
  <si>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</si>
  <si>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</si>
  <si>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</si>
  <si>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</si>
  <si>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</si>
  <si>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</si>
  <si>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</si>
  <si>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</si>
  <si>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</si>
  <si>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</si>
  <si>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</si>
  <si>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</si>
  <si>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</si>
  <si>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</si>
  <si>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</si>
  <si>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</si>
  <si>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</si>
  <si>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</si>
  <si>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</si>
  <si>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</si>
  <si>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</si>
  <si>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</si>
  <si>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</si>
  <si>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</si>
  <si>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</si>
  <si>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</si>
  <si>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</si>
  <si>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</si>
  <si>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</si>
  <si>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</si>
  <si>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</si>
  <si>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</si>
  <si>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</si>
  <si>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</si>
  <si>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</si>
  <si>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</si>
  <si>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</si>
  <si>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</si>
  <si>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</si>
  <si>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</si>
  <si>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</si>
  <si>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</si>
  <si>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</si>
  <si>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</si>
  <si>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</si>
  <si>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</si>
  <si>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</si>
  <si>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</si>
  <si>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</si>
  <si>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</si>
  <si>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</si>
  <si>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</si>
  <si>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</si>
  <si>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</si>
  <si>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</si>
  <si>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</si>
  <si>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</si>
  <si>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</si>
  <si>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</si>
  <si>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</si>
  <si>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81224333034</t>
  </si>
  <si>
    <t>01053191</t>
  </si>
  <si>
    <t>080041118</t>
  </si>
  <si>
    <t>Bc Institut za oplemenjivanje i proizvodnju bilja, dioničko društvo</t>
  </si>
  <si>
    <t>Dugoselska 7, Rugvica</t>
  </si>
  <si>
    <t>bc-uprava@bc-institut.hr</t>
  </si>
  <si>
    <t>01/2781-510</t>
  </si>
  <si>
    <t>www.bc-institut.hr</t>
  </si>
  <si>
    <t>Kristina Marijašević</t>
  </si>
  <si>
    <t>01/2785-510</t>
  </si>
  <si>
    <t>kristina.marijasevic@bc-institut.hr</t>
  </si>
  <si>
    <t>IVICA IKIĆ</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</si>
</sst>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35"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 fillId="0" borderId="23" xfId="0" applyFont="1" applyFill="1" applyBorder="1" applyAlignment="1" applyProtection="1">
      <alignment horizontal="left" vertical="center" wrapText="1"/>
      <protection hidden="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82">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2018</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6120534.92</v>
      </c>
      <c r="I3" s="31">
        <f>ABS(ROUND(J3,0)-J3)+ABS(ROUND(K3,0)-K3)</f>
        <v>0</v>
      </c>
      <c r="J3" s="31">
        <f>Bilanca!I10</f>
        <v>102294316</v>
      </c>
      <c r="K3" s="31">
        <f>Bilanca!J10</f>
        <v>101866215</v>
      </c>
    </row>
    <row r="4" spans="1:11" ht="12.75">
      <c r="A4" s="4" t="s">
        <v>1088</v>
      </c>
      <c r="B4" s="29" t="s">
        <v>1888</v>
      </c>
      <c r="D4" s="4" t="s">
        <v>1521</v>
      </c>
      <c r="E4" s="4">
        <v>1</v>
      </c>
      <c r="F4" s="4">
        <f>Bilanca!G11</f>
        <v>3</v>
      </c>
      <c r="G4" s="4">
        <f>IF(Bilanca!H11=0,"",Bilanca!H11)</f>
      </c>
      <c r="H4" s="30">
        <f>J4/100*F4+2*K4/100*F4</f>
        <v>33060.06</v>
      </c>
      <c r="I4" s="31">
        <f>ABS(ROUND(J4,0)-J4)+ABS(ROUND(K4,0)-K4)</f>
        <v>0</v>
      </c>
      <c r="J4" s="31">
        <f>Bilanca!I11</f>
        <v>219834</v>
      </c>
      <c r="K4" s="31">
        <f>Bilanca!J11</f>
        <v>441084</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01053191</v>
      </c>
      <c r="D6" s="4" t="s">
        <v>1521</v>
      </c>
      <c r="E6" s="4">
        <v>1</v>
      </c>
      <c r="F6" s="4">
        <f>Bilanca!G13</f>
        <v>5</v>
      </c>
      <c r="G6" s="4">
        <f>IF(Bilanca!H13=0,"",Bilanca!H13)</f>
      </c>
      <c r="H6" s="30">
        <f aca="true" t="shared" si="0" ref="H6:H45">J6/100*F6+2*K6/100*F6</f>
        <v>55100.100000000006</v>
      </c>
      <c r="I6" s="31">
        <f aca="true" t="shared" si="1" ref="I6:I45">ABS(ROUND(J6,0)-J6)+ABS(ROUND(K6,0)-K6)</f>
        <v>0</v>
      </c>
      <c r="J6" s="31">
        <f>Bilanca!I13</f>
        <v>219834</v>
      </c>
      <c r="K6" s="31">
        <f>Bilanca!J13</f>
        <v>441084</v>
      </c>
    </row>
    <row r="7" spans="1:11" ht="12.75">
      <c r="A7" s="4" t="s">
        <v>2353</v>
      </c>
      <c r="B7" s="29" t="str">
        <f>RefStr!M27</f>
        <v>080041118</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81224333034</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Bc Institut za oplemenjivanje i proizvodnju bilja, dioničko društvo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10370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Dugo Selo</v>
      </c>
      <c r="D11" s="4" t="s">
        <v>1521</v>
      </c>
      <c r="E11" s="4">
        <v>1</v>
      </c>
      <c r="F11" s="4">
        <f>Bilanca!G18</f>
        <v>10</v>
      </c>
      <c r="G11" s="4">
        <f>IF(Bilanca!H18=0,"",Bilanca!H18)</f>
      </c>
      <c r="H11" s="30">
        <f t="shared" si="0"/>
        <v>23726158.2</v>
      </c>
      <c r="I11" s="31">
        <f t="shared" si="1"/>
        <v>0</v>
      </c>
      <c r="J11" s="31">
        <f>Bilanca!I18</f>
        <v>79210188</v>
      </c>
      <c r="K11" s="31">
        <f>Bilanca!J18</f>
        <v>79025697</v>
      </c>
    </row>
    <row r="12" spans="1:11" ht="12.75">
      <c r="A12" s="4" t="s">
        <v>2357</v>
      </c>
      <c r="B12" s="29" t="str">
        <f>TRIM(RefStr!C33)</f>
        <v>Dugoselska 7, Rugvica</v>
      </c>
      <c r="D12" s="4" t="s">
        <v>1521</v>
      </c>
      <c r="E12" s="4">
        <v>1</v>
      </c>
      <c r="F12" s="4">
        <f>Bilanca!G19</f>
        <v>11</v>
      </c>
      <c r="G12" s="4">
        <f>IF(Bilanca!H19=0,"",Bilanca!H19)</f>
      </c>
      <c r="H12" s="30">
        <f t="shared" si="0"/>
        <v>8498208.84</v>
      </c>
      <c r="I12" s="31">
        <f t="shared" si="1"/>
        <v>0</v>
      </c>
      <c r="J12" s="31">
        <f>Bilanca!I19</f>
        <v>25571716</v>
      </c>
      <c r="K12" s="31">
        <f>Bilanca!J19</f>
        <v>25842364</v>
      </c>
    </row>
    <row r="13" spans="1:11" ht="12.75">
      <c r="A13" s="4" t="s">
        <v>1193</v>
      </c>
      <c r="B13" s="29" t="str">
        <f>TRIM(RefStr!C35)</f>
        <v>bc-uprava@bc-institut.hr</v>
      </c>
      <c r="D13" s="4" t="s">
        <v>1521</v>
      </c>
      <c r="E13" s="4">
        <v>1</v>
      </c>
      <c r="F13" s="4">
        <f>Bilanca!G20</f>
        <v>12</v>
      </c>
      <c r="G13" s="4">
        <f>IF(Bilanca!H20=0,"",Bilanca!H20)</f>
      </c>
      <c r="H13" s="30">
        <f t="shared" si="0"/>
        <v>18451590.119999997</v>
      </c>
      <c r="I13" s="31">
        <f t="shared" si="1"/>
        <v>0</v>
      </c>
      <c r="J13" s="31">
        <f>Bilanca!I20</f>
        <v>52479691</v>
      </c>
      <c r="K13" s="31">
        <f>Bilanca!J20</f>
        <v>50641780</v>
      </c>
    </row>
    <row r="14" spans="1:11" ht="12.75">
      <c r="A14" s="4" t="s">
        <v>1194</v>
      </c>
      <c r="B14" s="29" t="str">
        <f>TRIM(RefStr!C37)</f>
        <v>www.bc-institut.hr</v>
      </c>
      <c r="D14" s="4" t="s">
        <v>1521</v>
      </c>
      <c r="E14" s="4">
        <v>1</v>
      </c>
      <c r="F14" s="4">
        <f>Bilanca!G21</f>
        <v>13</v>
      </c>
      <c r="G14" s="4">
        <f>IF(Bilanca!H21=0,"",Bilanca!H21)</f>
      </c>
      <c r="H14" s="30">
        <f t="shared" si="0"/>
        <v>775435.5700000001</v>
      </c>
      <c r="I14" s="31">
        <f t="shared" si="1"/>
        <v>0</v>
      </c>
      <c r="J14" s="31">
        <f>Bilanca!I21</f>
        <v>1025585</v>
      </c>
      <c r="K14" s="31">
        <f>Bilanca!J21</f>
        <v>2469652</v>
      </c>
    </row>
    <row r="15" spans="1:11" ht="12.75">
      <c r="A15" s="4" t="s">
        <v>2360</v>
      </c>
      <c r="B15" s="29" t="str">
        <f>TEXT(RefStr!J39,"00")</f>
        <v>01</v>
      </c>
      <c r="D15" s="4" t="s">
        <v>1521</v>
      </c>
      <c r="E15" s="4">
        <v>1</v>
      </c>
      <c r="F15" s="4">
        <f>Bilanca!G22</f>
        <v>14</v>
      </c>
      <c r="G15" s="4">
        <f>IF(Bilanca!H22=0,"",Bilanca!H22)</f>
      </c>
      <c r="H15" s="30">
        <f t="shared" si="0"/>
        <v>0</v>
      </c>
      <c r="I15" s="31">
        <f t="shared" si="1"/>
        <v>0</v>
      </c>
      <c r="J15" s="31">
        <f>Bilanca!I22</f>
        <v>0</v>
      </c>
      <c r="K15" s="31">
        <f>Bilanca!J22</f>
        <v>0</v>
      </c>
    </row>
    <row r="16" spans="1:11" ht="12.75">
      <c r="A16" s="4" t="s">
        <v>2359</v>
      </c>
      <c r="B16" s="29" t="str">
        <f>TEXT(RefStr!C39,"000")</f>
        <v>376</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7219</v>
      </c>
      <c r="D17" s="4" t="s">
        <v>1521</v>
      </c>
      <c r="E17" s="4">
        <v>1</v>
      </c>
      <c r="F17" s="4">
        <f>Bilanca!G24</f>
        <v>16</v>
      </c>
      <c r="G17" s="4">
        <f>IF(Bilanca!H24=0,"",Bilanca!H24)</f>
      </c>
      <c r="H17" s="30">
        <f t="shared" si="0"/>
        <v>9683.36</v>
      </c>
      <c r="I17" s="31">
        <f t="shared" si="1"/>
        <v>0</v>
      </c>
      <c r="J17" s="31">
        <f>Bilanca!I24</f>
        <v>60521</v>
      </c>
      <c r="K17" s="31">
        <f>Bilanca!J24</f>
        <v>0</v>
      </c>
    </row>
    <row r="18" spans="1:11" ht="12.75">
      <c r="A18" s="4" t="s">
        <v>1195</v>
      </c>
      <c r="B18" s="29" t="str">
        <f>IF(RefStr!C21&lt;&gt;"",RefStr!C21,"")</f>
        <v>NE</v>
      </c>
      <c r="D18" s="4" t="s">
        <v>1521</v>
      </c>
      <c r="E18" s="4">
        <v>1</v>
      </c>
      <c r="F18" s="4">
        <f>Bilanca!G25</f>
        <v>17</v>
      </c>
      <c r="G18" s="4">
        <f>IF(Bilanca!H25=0,"",Bilanca!H25)</f>
      </c>
      <c r="H18" s="30">
        <f t="shared" si="0"/>
        <v>131.58</v>
      </c>
      <c r="I18" s="31">
        <f t="shared" si="1"/>
        <v>0</v>
      </c>
      <c r="J18" s="31">
        <f>Bilanca!I25</f>
        <v>774</v>
      </c>
      <c r="K18" s="31">
        <f>Bilanca!J25</f>
        <v>0</v>
      </c>
    </row>
    <row r="19" spans="1:11" ht="12.75">
      <c r="A19" s="4" t="s">
        <v>1196</v>
      </c>
      <c r="B19" s="29" t="str">
        <f>IF(RefStr!I21&lt;&gt;"",RefStr!I21,"")</f>
        <v>NE</v>
      </c>
      <c r="D19" s="4" t="s">
        <v>1521</v>
      </c>
      <c r="E19" s="4">
        <v>1</v>
      </c>
      <c r="F19" s="4">
        <f>Bilanca!G26</f>
        <v>18</v>
      </c>
      <c r="G19" s="4">
        <f>IF(Bilanca!H26=0,"",Bilanca!H26)</f>
      </c>
      <c r="H19" s="30">
        <f t="shared" si="0"/>
        <v>38826.54</v>
      </c>
      <c r="I19" s="31">
        <f t="shared" si="1"/>
        <v>0</v>
      </c>
      <c r="J19" s="31">
        <f>Bilanca!I26</f>
        <v>71901</v>
      </c>
      <c r="K19" s="31">
        <f>Bilanca!J26</f>
        <v>71901</v>
      </c>
    </row>
    <row r="20" spans="1:11" ht="12.75">
      <c r="A20" s="4" t="s">
        <v>1197</v>
      </c>
      <c r="B20" s="29">
        <f>RefStr!C19</f>
        <v>1</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2</v>
      </c>
      <c r="D21" s="4" t="s">
        <v>1521</v>
      </c>
      <c r="E21" s="4">
        <v>1</v>
      </c>
      <c r="F21" s="4">
        <f>Bilanca!G28</f>
        <v>20</v>
      </c>
      <c r="G21" s="4">
        <f>IF(Bilanca!H28=0,"",Bilanca!H28)</f>
      </c>
      <c r="H21" s="30">
        <f t="shared" si="0"/>
        <v>13186605.8</v>
      </c>
      <c r="I21" s="31">
        <f t="shared" si="1"/>
        <v>0</v>
      </c>
      <c r="J21" s="31">
        <f>Bilanca!I28</f>
        <v>22162495</v>
      </c>
      <c r="K21" s="31">
        <f>Bilanca!J28</f>
        <v>21885267</v>
      </c>
    </row>
    <row r="22" spans="1:11" ht="12.75">
      <c r="A22" s="4" t="s">
        <v>1199</v>
      </c>
      <c r="B22" s="29">
        <f>RefStr!C52</f>
        <v>22</v>
      </c>
      <c r="D22" s="4" t="s">
        <v>1521</v>
      </c>
      <c r="E22" s="4">
        <v>1</v>
      </c>
      <c r="F22" s="4">
        <f>Bilanca!G29</f>
        <v>21</v>
      </c>
      <c r="G22" s="4">
        <f>IF(Bilanca!H29=0,"",Bilanca!H29)</f>
      </c>
      <c r="H22" s="30">
        <f t="shared" si="0"/>
        <v>13787620.14</v>
      </c>
      <c r="I22" s="31">
        <f t="shared" si="1"/>
        <v>0</v>
      </c>
      <c r="J22" s="31">
        <f>Bilanca!I29</f>
        <v>21884800</v>
      </c>
      <c r="K22" s="31">
        <f>Bilanca!J29</f>
        <v>21885267</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124</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126</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122</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124</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77754.59999999999</v>
      </c>
      <c r="I29" s="31">
        <f t="shared" si="1"/>
        <v>0</v>
      </c>
      <c r="J29" s="31">
        <f>Bilanca!I36</f>
        <v>277695</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536341.23</v>
      </c>
      <c r="I32" s="31">
        <f t="shared" si="1"/>
        <v>0</v>
      </c>
      <c r="J32" s="31">
        <f>Bilanca!I39</f>
        <v>701799</v>
      </c>
      <c r="K32" s="31">
        <f>Bilanca!J39</f>
        <v>514167</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605546.55</v>
      </c>
      <c r="I36" s="31">
        <f t="shared" si="1"/>
        <v>0</v>
      </c>
      <c r="J36" s="31">
        <f>Bilanca!I43</f>
        <v>701799</v>
      </c>
      <c r="K36" s="31">
        <f>Bilanca!J43</f>
        <v>514167</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131565118.37</v>
      </c>
      <c r="I38" s="31">
        <f t="shared" si="1"/>
        <v>0</v>
      </c>
      <c r="J38" s="31">
        <f>Bilanca!I45</f>
        <v>116287539</v>
      </c>
      <c r="K38" s="31">
        <f>Bilanca!J45</f>
        <v>119646931</v>
      </c>
    </row>
    <row r="39" spans="1:11" ht="12.75">
      <c r="A39" s="4" t="s">
        <v>1216</v>
      </c>
      <c r="B39" s="29" t="str">
        <f>RefStr!C68</f>
        <v>Kristina Marijašević</v>
      </c>
      <c r="D39" s="4" t="s">
        <v>1521</v>
      </c>
      <c r="E39" s="4">
        <v>1</v>
      </c>
      <c r="F39" s="4">
        <f>Bilanca!G46</f>
        <v>38</v>
      </c>
      <c r="G39" s="4">
        <f>IF(Bilanca!H46=0,"",Bilanca!H46)</f>
      </c>
      <c r="H39" s="30">
        <f t="shared" si="0"/>
        <v>93196624.88</v>
      </c>
      <c r="I39" s="31">
        <f t="shared" si="1"/>
        <v>0</v>
      </c>
      <c r="J39" s="31">
        <f>Bilanca!I46</f>
        <v>79654762</v>
      </c>
      <c r="K39" s="31">
        <f>Bilanca!J46</f>
        <v>82799757</v>
      </c>
    </row>
    <row r="40" spans="1:11" ht="12.75">
      <c r="A40" s="4" t="s">
        <v>1217</v>
      </c>
      <c r="B40" s="29" t="str">
        <f>TRIM(RefStr!C70)</f>
        <v>01/2785-510</v>
      </c>
      <c r="D40" s="4" t="s">
        <v>1521</v>
      </c>
      <c r="E40" s="4">
        <v>1</v>
      </c>
      <c r="F40" s="4">
        <f>Bilanca!G47</f>
        <v>39</v>
      </c>
      <c r="G40" s="4">
        <f>IF(Bilanca!H47=0,"",Bilanca!H47)</f>
      </c>
      <c r="H40" s="30">
        <f t="shared" si="0"/>
        <v>5661302.79</v>
      </c>
      <c r="I40" s="31">
        <f t="shared" si="1"/>
        <v>0</v>
      </c>
      <c r="J40" s="31">
        <f>Bilanca!I47</f>
        <v>4513775</v>
      </c>
      <c r="K40" s="31">
        <f>Bilanca!J47</f>
        <v>5001193</v>
      </c>
    </row>
    <row r="41" spans="1:11" ht="12.75">
      <c r="A41" s="4" t="s">
        <v>1218</v>
      </c>
      <c r="B41" s="29" t="s">
        <v>239</v>
      </c>
      <c r="D41" s="4" t="s">
        <v>1521</v>
      </c>
      <c r="E41" s="4">
        <v>1</v>
      </c>
      <c r="F41" s="4">
        <f>Bilanca!G48</f>
        <v>40</v>
      </c>
      <c r="G41" s="4">
        <f>IF(Bilanca!H48=0,"",Bilanca!H48)</f>
      </c>
      <c r="H41" s="30">
        <f t="shared" si="0"/>
        <v>71233559.2</v>
      </c>
      <c r="I41" s="31">
        <f t="shared" si="1"/>
        <v>0</v>
      </c>
      <c r="J41" s="31">
        <f>Bilanca!I48</f>
        <v>61073674</v>
      </c>
      <c r="K41" s="31">
        <f>Bilanca!J48</f>
        <v>58505112</v>
      </c>
    </row>
    <row r="42" spans="1:11" ht="12.75">
      <c r="A42" s="4" t="s">
        <v>531</v>
      </c>
      <c r="B42" s="29" t="str">
        <f>TRIM(RefStr!C72)</f>
        <v>kristina.marijasevic@bc-institut.hr</v>
      </c>
      <c r="D42" s="4" t="s">
        <v>1521</v>
      </c>
      <c r="E42" s="4">
        <v>1</v>
      </c>
      <c r="F42" s="4">
        <f>Bilanca!G49</f>
        <v>41</v>
      </c>
      <c r="G42" s="4">
        <f>IF(Bilanca!H49=0,"",Bilanca!H49)</f>
      </c>
      <c r="H42" s="30">
        <f t="shared" si="0"/>
        <v>21356941.41</v>
      </c>
      <c r="I42" s="31">
        <f t="shared" si="1"/>
        <v>0</v>
      </c>
      <c r="J42" s="31">
        <f>Bilanca!I49</f>
        <v>13524797</v>
      </c>
      <c r="K42" s="31">
        <f>Bilanca!J49</f>
        <v>19282652</v>
      </c>
    </row>
    <row r="43" spans="1:11" ht="12.75">
      <c r="A43" s="4" t="s">
        <v>530</v>
      </c>
      <c r="B43" s="29" t="str">
        <f>TRIM(RefStr!A75)</f>
        <v>IVICA IKIĆ</v>
      </c>
      <c r="D43" s="4" t="s">
        <v>1521</v>
      </c>
      <c r="E43" s="4">
        <v>1</v>
      </c>
      <c r="F43" s="4">
        <f>Bilanca!G50</f>
        <v>42</v>
      </c>
      <c r="G43" s="4">
        <f>IF(Bilanca!H50=0,"",Bilanca!H50)</f>
      </c>
      <c r="H43" s="30">
        <f t="shared" si="0"/>
        <v>135588.6</v>
      </c>
      <c r="I43" s="31">
        <f t="shared" si="1"/>
        <v>0</v>
      </c>
      <c r="J43" s="31">
        <f>Bilanca!I50</f>
        <v>301230</v>
      </c>
      <c r="K43" s="31">
        <f>Bilanca!J50</f>
        <v>10800</v>
      </c>
    </row>
    <row r="44" spans="1:11" ht="12.75">
      <c r="A44" s="4" t="s">
        <v>2853</v>
      </c>
      <c r="B44" s="29" t="str">
        <f>IF(RefStr!C4&lt;&gt;"",TEXT(RefStr!C4,"YYYYMMDD"),"")</f>
        <v>20180101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20181231</v>
      </c>
      <c r="D45" s="4" t="s">
        <v>1521</v>
      </c>
      <c r="E45" s="4">
        <v>1</v>
      </c>
      <c r="F45" s="4">
        <f>Bilanca!G52</f>
        <v>44</v>
      </c>
      <c r="G45" s="4">
        <f>IF(Bilanca!H52=0,"",Bilanca!H52)</f>
      </c>
      <c r="H45" s="30">
        <f t="shared" si="0"/>
        <v>106165.84000000001</v>
      </c>
      <c r="I45" s="31">
        <f t="shared" si="1"/>
        <v>0</v>
      </c>
      <c r="J45" s="31">
        <f>Bilanca!I52</f>
        <v>241286</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37450791.9</v>
      </c>
      <c r="I47" s="31">
        <f t="shared" si="3"/>
        <v>0</v>
      </c>
      <c r="J47" s="31">
        <f>Bilanca!I54</f>
        <v>24933455</v>
      </c>
      <c r="K47" s="31">
        <f>Bilanca!J54</f>
        <v>28240655</v>
      </c>
    </row>
    <row r="48" spans="1:11" ht="12.75">
      <c r="A48" s="4" t="s">
        <v>1918</v>
      </c>
      <c r="B48" s="29" t="str">
        <f>RefStr!I54</f>
        <v>DA</v>
      </c>
      <c r="D48" s="4" t="s">
        <v>1521</v>
      </c>
      <c r="E48" s="4">
        <v>1</v>
      </c>
      <c r="F48" s="4">
        <f>Bilanca!G55</f>
        <v>47</v>
      </c>
      <c r="G48" s="4">
        <f>IF(Bilanca!H55=0,"",Bilanca!H55)</f>
      </c>
      <c r="H48" s="30">
        <f t="shared" si="2"/>
        <v>16563217.83</v>
      </c>
      <c r="I48" s="31">
        <f t="shared" si="3"/>
        <v>0</v>
      </c>
      <c r="J48" s="31">
        <f>Bilanca!I55</f>
        <v>11305931</v>
      </c>
      <c r="K48" s="31">
        <f>Bilanca!J55</f>
        <v>11967479</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17813699.12</v>
      </c>
      <c r="I50" s="31">
        <f t="shared" si="3"/>
        <v>0</v>
      </c>
      <c r="J50" s="31">
        <f>Bilanca!I57</f>
        <v>11365522</v>
      </c>
      <c r="K50" s="31">
        <f>Bilanca!J57</f>
        <v>12494483</v>
      </c>
    </row>
    <row r="51" spans="1:11" ht="12.75">
      <c r="A51" s="4" t="s">
        <v>288</v>
      </c>
      <c r="B51" s="29" t="str">
        <f>RefStr!I60</f>
        <v>NE</v>
      </c>
      <c r="D51" s="4" t="s">
        <v>1521</v>
      </c>
      <c r="E51" s="4">
        <v>1</v>
      </c>
      <c r="F51" s="4">
        <f>Bilanca!G58</f>
        <v>50</v>
      </c>
      <c r="G51" s="4">
        <f>IF(Bilanca!H58=0,"",Bilanca!H58)</f>
      </c>
      <c r="H51" s="30">
        <f t="shared" si="2"/>
        <v>34589</v>
      </c>
      <c r="I51" s="31">
        <f t="shared" si="3"/>
        <v>0</v>
      </c>
      <c r="J51" s="31">
        <f>Bilanca!I58</f>
        <v>43278</v>
      </c>
      <c r="K51" s="31">
        <f>Bilanca!J58</f>
        <v>12950</v>
      </c>
    </row>
    <row r="52" spans="1:11" ht="12.75">
      <c r="A52" s="4" t="s">
        <v>1219</v>
      </c>
      <c r="B52" s="29" t="s">
        <v>2619</v>
      </c>
      <c r="D52" s="4" t="s">
        <v>1521</v>
      </c>
      <c r="E52" s="4">
        <v>1</v>
      </c>
      <c r="F52" s="4">
        <f>Bilanca!G59</f>
        <v>51</v>
      </c>
      <c r="G52" s="4">
        <f>IF(Bilanca!H59=0,"",Bilanca!H59)</f>
      </c>
      <c r="H52" s="30">
        <f t="shared" si="2"/>
        <v>3474395.91</v>
      </c>
      <c r="I52" s="31">
        <f t="shared" si="3"/>
        <v>0</v>
      </c>
      <c r="J52" s="31">
        <f>Bilanca!I59</f>
        <v>1802525</v>
      </c>
      <c r="K52" s="31">
        <f>Bilanca!J59</f>
        <v>2505008</v>
      </c>
    </row>
    <row r="53" spans="1:11" ht="12.75">
      <c r="A53" s="4" t="s">
        <v>532</v>
      </c>
      <c r="B53" s="29" t="str">
        <f>RefStr!I56</f>
        <v>NE</v>
      </c>
      <c r="D53" s="4" t="s">
        <v>1521</v>
      </c>
      <c r="E53" s="4">
        <v>1</v>
      </c>
      <c r="F53" s="4">
        <f>Bilanca!G60</f>
        <v>52</v>
      </c>
      <c r="G53" s="4">
        <f>IF(Bilanca!H60=0,"",Bilanca!H60)</f>
      </c>
      <c r="H53" s="30">
        <f t="shared" si="2"/>
        <v>1527587.8800000001</v>
      </c>
      <c r="I53" s="31">
        <f t="shared" si="3"/>
        <v>0</v>
      </c>
      <c r="J53" s="31">
        <f>Bilanca!I60</f>
        <v>416199</v>
      </c>
      <c r="K53" s="31">
        <f>Bilanca!J60</f>
        <v>1260735</v>
      </c>
    </row>
    <row r="54" spans="1:11" ht="12.75">
      <c r="A54" s="4" t="s">
        <v>533</v>
      </c>
      <c r="B54" s="29" t="str">
        <f>RefStr!I62</f>
        <v>NE</v>
      </c>
      <c r="D54" s="4" t="s">
        <v>1521</v>
      </c>
      <c r="E54" s="4">
        <v>1</v>
      </c>
      <c r="F54" s="4">
        <f>Bilanca!G61</f>
        <v>53</v>
      </c>
      <c r="G54" s="4">
        <f>IF(Bilanca!H61=0,"",Bilanca!H61)</f>
      </c>
      <c r="H54" s="30">
        <f t="shared" si="2"/>
        <v>14382355.6</v>
      </c>
      <c r="I54" s="31">
        <f t="shared" si="3"/>
        <v>0</v>
      </c>
      <c r="J54" s="31">
        <f>Bilanca!I61</f>
        <v>10998558</v>
      </c>
      <c r="K54" s="31">
        <f>Bilanca!J61</f>
        <v>8068981</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NE</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NE</v>
      </c>
      <c r="D57" s="4" t="s">
        <v>1521</v>
      </c>
      <c r="E57" s="4">
        <v>1</v>
      </c>
      <c r="F57" s="4">
        <f>Bilanca!G64</f>
        <v>56</v>
      </c>
      <c r="G57" s="4">
        <f>IF(Bilanca!H64=0,"",Bilanca!H64)</f>
      </c>
      <c r="H57" s="30">
        <f t="shared" si="2"/>
        <v>7538533.52</v>
      </c>
      <c r="I57" s="31">
        <f t="shared" si="3"/>
        <v>0</v>
      </c>
      <c r="J57" s="31">
        <f>Bilanca!I64</f>
        <v>3503351</v>
      </c>
      <c r="K57" s="31">
        <f>Bilanca!J64</f>
        <v>4979158</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7462447202.780001</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8341660.33</v>
      </c>
      <c r="I62" s="31">
        <f t="shared" si="3"/>
        <v>0</v>
      </c>
      <c r="J62" s="31">
        <f>Bilanca!I69</f>
        <v>7495207</v>
      </c>
      <c r="K62" s="31">
        <f>Bilanca!J69</f>
        <v>3089823</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1118779.2</v>
      </c>
      <c r="I64" s="31">
        <f t="shared" si="3"/>
        <v>0</v>
      </c>
      <c r="J64" s="31">
        <f>Bilanca!I71</f>
        <v>700764</v>
      </c>
      <c r="K64" s="31">
        <f>Bilanca!J71</f>
        <v>537538</v>
      </c>
    </row>
    <row r="65" spans="1:11" ht="12.75">
      <c r="A65" s="4" t="s">
        <v>687</v>
      </c>
      <c r="B65" s="29" t="str">
        <f>RefStr!N19</f>
        <v>HSFI</v>
      </c>
      <c r="D65" s="4" t="s">
        <v>1521</v>
      </c>
      <c r="E65" s="4">
        <v>1</v>
      </c>
      <c r="F65" s="4">
        <f>Bilanca!G72</f>
        <v>64</v>
      </c>
      <c r="G65" s="4">
        <f>IF(Bilanca!H72=0,"",Bilanca!H72)</f>
      </c>
      <c r="H65" s="30">
        <f t="shared" si="2"/>
        <v>2018354.56</v>
      </c>
      <c r="I65" s="31">
        <f t="shared" si="3"/>
        <v>0</v>
      </c>
      <c r="J65" s="31">
        <f>Bilanca!I72</f>
        <v>672691</v>
      </c>
      <c r="K65" s="31">
        <f>Bilanca!J72</f>
        <v>1240494</v>
      </c>
    </row>
    <row r="66" spans="1:11" ht="12.75">
      <c r="A66" s="4" t="s">
        <v>688</v>
      </c>
      <c r="B66" s="29">
        <f>RefStr!C23</f>
        <v>1</v>
      </c>
      <c r="D66" s="4" t="s">
        <v>1521</v>
      </c>
      <c r="E66" s="4">
        <v>1</v>
      </c>
      <c r="F66" s="4">
        <f>Bilanca!G73</f>
        <v>65</v>
      </c>
      <c r="G66" s="4">
        <f>IF(Bilanca!H73=0,"",Bilanca!H73)</f>
      </c>
      <c r="H66" s="30">
        <f t="shared" si="2"/>
        <v>432095186.9</v>
      </c>
      <c r="I66" s="31">
        <f t="shared" si="3"/>
        <v>0</v>
      </c>
      <c r="J66" s="31">
        <f>Bilanca!I73</f>
        <v>219254546</v>
      </c>
      <c r="K66" s="31">
        <f>Bilanca!J73</f>
        <v>222753640</v>
      </c>
    </row>
    <row r="67" spans="1:11" ht="12.75">
      <c r="A67" s="4" t="s">
        <v>689</v>
      </c>
      <c r="B67" s="29" t="str">
        <f>RefStr!L35</f>
        <v>01/2781-510</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7</v>
      </c>
      <c r="D68" s="4" t="s">
        <v>1521</v>
      </c>
      <c r="E68" s="4">
        <v>1</v>
      </c>
      <c r="F68" s="4">
        <f>Bilanca!G76</f>
        <v>67</v>
      </c>
      <c r="G68" s="4">
        <f>IF(Bilanca!H76=0,"",Bilanca!H76)</f>
      </c>
      <c r="H68" s="30">
        <f t="shared" si="2"/>
        <v>356012543.35</v>
      </c>
      <c r="I68" s="31">
        <f t="shared" si="3"/>
        <v>0</v>
      </c>
      <c r="J68" s="31">
        <f>Bilanca!I76</f>
        <v>179377409</v>
      </c>
      <c r="K68" s="31">
        <f>Bilanca!J76</f>
        <v>175992298</v>
      </c>
    </row>
    <row r="69" spans="1:11" ht="12.75">
      <c r="A69" s="4" t="s">
        <v>691</v>
      </c>
      <c r="B69" s="29">
        <f>RefStr!M46</f>
        <v>0</v>
      </c>
      <c r="D69" s="4" t="s">
        <v>1521</v>
      </c>
      <c r="E69" s="4">
        <v>1</v>
      </c>
      <c r="F69" s="4">
        <f>Bilanca!G77</f>
        <v>68</v>
      </c>
      <c r="G69" s="4">
        <f>IF(Bilanca!H77=0,"",Bilanca!H77)</f>
      </c>
      <c r="H69" s="30">
        <f t="shared" si="2"/>
        <v>61138800</v>
      </c>
      <c r="I69" s="31">
        <f t="shared" si="3"/>
        <v>0</v>
      </c>
      <c r="J69" s="31">
        <f>Bilanca!I77</f>
        <v>29970000</v>
      </c>
      <c r="K69" s="31">
        <f>Bilanca!J77</f>
        <v>29970000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33499622.1</v>
      </c>
      <c r="I71" s="31">
        <f t="shared" si="3"/>
        <v>0</v>
      </c>
      <c r="J71" s="31">
        <f>Bilanca!I79</f>
        <v>15952201</v>
      </c>
      <c r="K71" s="31">
        <f>Bilanca!J79</f>
        <v>15952201</v>
      </c>
    </row>
    <row r="72" spans="4:11" ht="12.75">
      <c r="D72" s="4" t="s">
        <v>1521</v>
      </c>
      <c r="E72" s="4">
        <v>1</v>
      </c>
      <c r="F72" s="4">
        <f>Bilanca!G80</f>
        <v>71</v>
      </c>
      <c r="G72" s="4">
        <f>IF(Bilanca!H80=0,"",Bilanca!H80)</f>
      </c>
      <c r="H72" s="30">
        <f t="shared" si="2"/>
        <v>3191805</v>
      </c>
      <c r="I72" s="31">
        <f t="shared" si="3"/>
        <v>0</v>
      </c>
      <c r="J72" s="31">
        <f>Bilanca!I80</f>
        <v>1498500</v>
      </c>
      <c r="K72" s="31">
        <f>Bilanca!J80</f>
        <v>1498500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32520827.25</v>
      </c>
      <c r="I76" s="31">
        <f t="shared" si="3"/>
        <v>0</v>
      </c>
      <c r="J76" s="31">
        <f>Bilanca!I84</f>
        <v>14453701</v>
      </c>
      <c r="K76" s="31">
        <f>Bilanca!J84</f>
        <v>14453701</v>
      </c>
    </row>
    <row r="77" spans="4:11" ht="12.75">
      <c r="D77" s="4" t="s">
        <v>1521</v>
      </c>
      <c r="E77" s="4">
        <v>1</v>
      </c>
      <c r="F77" s="4">
        <f>Bilanca!G85</f>
        <v>76</v>
      </c>
      <c r="G77" s="4">
        <f>IF(Bilanca!H85=0,"",Bilanca!H85)</f>
      </c>
      <c r="H77" s="30">
        <f t="shared" si="2"/>
        <v>111198660.52</v>
      </c>
      <c r="I77" s="31">
        <f t="shared" si="3"/>
        <v>0</v>
      </c>
      <c r="J77" s="31">
        <f>Bilanca!I85</f>
        <v>50100653</v>
      </c>
      <c r="K77" s="31">
        <f>Bilanca!J85</f>
        <v>48106687</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206516871</v>
      </c>
      <c r="I82" s="31">
        <f t="shared" si="3"/>
        <v>0</v>
      </c>
      <c r="J82" s="31">
        <f>Bilanca!I90</f>
        <v>86797906</v>
      </c>
      <c r="K82" s="31">
        <f>Bilanca!J90</f>
        <v>84080597</v>
      </c>
    </row>
    <row r="83" spans="4:11" ht="12.75">
      <c r="D83" s="4" t="s">
        <v>1521</v>
      </c>
      <c r="E83" s="4">
        <v>1</v>
      </c>
      <c r="F83" s="4">
        <f>Bilanca!G91</f>
        <v>82</v>
      </c>
      <c r="G83" s="4">
        <f>IF(Bilanca!H91=0,"",Bilanca!H91)</f>
      </c>
      <c r="H83" s="30">
        <f t="shared" si="2"/>
        <v>209066462</v>
      </c>
      <c r="I83" s="31">
        <f t="shared" si="3"/>
        <v>0</v>
      </c>
      <c r="J83" s="31">
        <f>Bilanca!I91</f>
        <v>86797906</v>
      </c>
      <c r="K83" s="31">
        <f>Bilanca!J91</f>
        <v>84080597</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-6449289</v>
      </c>
      <c r="I85" s="31">
        <f>ABS(ROUND(J85,0)-J85)+ABS(ROUND(K85,0)-K85)</f>
        <v>0</v>
      </c>
      <c r="J85" s="31">
        <f>Bilanca!I93</f>
        <v>-3443351</v>
      </c>
      <c r="K85" s="31">
        <f>Bilanca!J93</f>
        <v>-2117187</v>
      </c>
    </row>
    <row r="86" spans="4:11" ht="12.75">
      <c r="D86" s="4" t="s">
        <v>1521</v>
      </c>
      <c r="E86" s="4">
        <v>1</v>
      </c>
      <c r="F86" s="4">
        <f>Bilanca!G94</f>
        <v>85</v>
      </c>
      <c r="G86" s="4">
        <f>IF(Bilanca!H94=0,"",Bilanca!H94)</f>
      </c>
      <c r="H86" s="30">
        <f>J86/100*F86+2*K86/100*F86</f>
        <v>0</v>
      </c>
      <c r="I86" s="31">
        <f>ABS(ROUND(J86,0)-J86)+ABS(ROUND(K86,0)-K86)</f>
        <v>0</v>
      </c>
      <c r="J86" s="31">
        <f>Bilanca!I94</f>
        <v>0</v>
      </c>
      <c r="K86" s="31">
        <f>Bilanca!J94</f>
        <v>0</v>
      </c>
    </row>
    <row r="87" spans="4:11" ht="12.75">
      <c r="D87" s="4" t="s">
        <v>1521</v>
      </c>
      <c r="E87" s="4">
        <v>1</v>
      </c>
      <c r="F87" s="4">
        <f>Bilanca!G95</f>
        <v>86</v>
      </c>
      <c r="G87" s="4">
        <f>IF(Bilanca!H95=0,"",Bilanca!H95)</f>
      </c>
      <c r="H87" s="30">
        <f aca="true" t="shared" si="4" ref="H87:H127">J87/100*F87+2*K87/100*F87</f>
        <v>6602843.5</v>
      </c>
      <c r="I87" s="31">
        <f aca="true" t="shared" si="5" ref="I87:I127">ABS(ROUND(J87,0)-J87)+ABS(ROUND(K87,0)-K87)</f>
        <v>0</v>
      </c>
      <c r="J87" s="31">
        <f>Bilanca!I95</f>
        <v>3443351</v>
      </c>
      <c r="K87" s="31">
        <f>Bilanca!J95</f>
        <v>2117187</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1655249.2</v>
      </c>
      <c r="I89" s="31">
        <f t="shared" si="5"/>
        <v>0</v>
      </c>
      <c r="J89" s="31">
        <f>Bilanca!I97</f>
        <v>701949</v>
      </c>
      <c r="K89" s="31">
        <f>Bilanca!J97</f>
        <v>589508</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1711678.15</v>
      </c>
      <c r="I92" s="31">
        <f t="shared" si="5"/>
        <v>0</v>
      </c>
      <c r="J92" s="31">
        <f>Bilanca!I100</f>
        <v>701949</v>
      </c>
      <c r="K92" s="31">
        <f>Bilanca!J100</f>
        <v>589508</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30511826.4</v>
      </c>
      <c r="I96" s="31">
        <f t="shared" si="5"/>
        <v>0</v>
      </c>
      <c r="J96" s="31">
        <f>Bilanca!I104</f>
        <v>10997704</v>
      </c>
      <c r="K96" s="31">
        <f>Bilanca!J104</f>
        <v>10560004</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34044774.72</v>
      </c>
      <c r="I107" s="31">
        <f t="shared" si="5"/>
        <v>0</v>
      </c>
      <c r="J107" s="31">
        <f>Bilanca!I115</f>
        <v>10997704</v>
      </c>
      <c r="K107" s="31">
        <f>Bilanca!J115</f>
        <v>10560004</v>
      </c>
    </row>
    <row r="108" spans="4:11" ht="12.75">
      <c r="D108" s="4" t="s">
        <v>1521</v>
      </c>
      <c r="E108" s="4">
        <v>1</v>
      </c>
      <c r="F108" s="4">
        <f>Bilanca!G116</f>
        <v>107</v>
      </c>
      <c r="G108" s="4">
        <f>IF(Bilanca!H116=0,"",Bilanca!H116)</f>
      </c>
      <c r="H108" s="30">
        <f t="shared" si="4"/>
        <v>103910568.67</v>
      </c>
      <c r="I108" s="31">
        <f t="shared" si="5"/>
        <v>0</v>
      </c>
      <c r="J108" s="31">
        <f>Bilanca!I116</f>
        <v>25889023</v>
      </c>
      <c r="K108" s="31">
        <f>Bilanca!J116</f>
        <v>35611829</v>
      </c>
    </row>
    <row r="109" spans="4:11" ht="12.75">
      <c r="D109" s="4" t="s">
        <v>1521</v>
      </c>
      <c r="E109" s="4">
        <v>1</v>
      </c>
      <c r="F109" s="4">
        <f>Bilanca!G117</f>
        <v>108</v>
      </c>
      <c r="G109" s="4">
        <f>IF(Bilanca!H117=0,"",Bilanca!H117)</f>
      </c>
      <c r="H109" s="30">
        <f t="shared" si="4"/>
        <v>103044.96</v>
      </c>
      <c r="I109" s="31">
        <f t="shared" si="5"/>
        <v>0</v>
      </c>
      <c r="J109" s="31">
        <f>Bilanca!I117</f>
        <v>0</v>
      </c>
      <c r="K109" s="31">
        <f>Bilanca!J117</f>
        <v>47706</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4443259.44</v>
      </c>
      <c r="I114" s="31">
        <f t="shared" si="5"/>
        <v>0</v>
      </c>
      <c r="J114" s="31">
        <f>Bilanca!I122</f>
        <v>774</v>
      </c>
      <c r="K114" s="31">
        <f>Bilanca!J122</f>
        <v>1965657</v>
      </c>
    </row>
    <row r="115" spans="4:11" ht="12.75">
      <c r="D115" s="4" t="s">
        <v>1521</v>
      </c>
      <c r="E115" s="4">
        <v>1</v>
      </c>
      <c r="F115" s="4">
        <f>Bilanca!G123</f>
        <v>114</v>
      </c>
      <c r="G115" s="4">
        <f>IF(Bilanca!H123=0,"",Bilanca!H123)</f>
      </c>
      <c r="H115" s="30">
        <f t="shared" si="4"/>
        <v>2308226.4</v>
      </c>
      <c r="I115" s="31">
        <f t="shared" si="5"/>
        <v>0</v>
      </c>
      <c r="J115" s="31">
        <f>Bilanca!I123</f>
        <v>125278</v>
      </c>
      <c r="K115" s="31">
        <f>Bilanca!J123</f>
        <v>949741</v>
      </c>
    </row>
    <row r="116" spans="4:11" ht="12.75">
      <c r="D116" s="4" t="s">
        <v>1521</v>
      </c>
      <c r="E116" s="4">
        <v>1</v>
      </c>
      <c r="F116" s="4">
        <f>Bilanca!G124</f>
        <v>115</v>
      </c>
      <c r="G116" s="4">
        <f>IF(Bilanca!H124=0,"",Bilanca!H124)</f>
      </c>
      <c r="H116" s="30">
        <f t="shared" si="4"/>
        <v>87920898.25</v>
      </c>
      <c r="I116" s="31">
        <f t="shared" si="5"/>
        <v>0</v>
      </c>
      <c r="J116" s="31">
        <f>Bilanca!I124</f>
        <v>21001413</v>
      </c>
      <c r="K116" s="31">
        <f>Bilanca!J124</f>
        <v>27725771</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2527353.27</v>
      </c>
      <c r="I118" s="31">
        <f t="shared" si="5"/>
        <v>0</v>
      </c>
      <c r="J118" s="31">
        <f>Bilanca!I126</f>
        <v>713491</v>
      </c>
      <c r="K118" s="31">
        <f>Bilanca!J126</f>
        <v>723320</v>
      </c>
    </row>
    <row r="119" spans="4:11" ht="12.75">
      <c r="D119" s="4" t="s">
        <v>1521</v>
      </c>
      <c r="E119" s="4">
        <v>1</v>
      </c>
      <c r="F119" s="4">
        <f>Bilanca!G127</f>
        <v>118</v>
      </c>
      <c r="G119" s="4">
        <f>IF(Bilanca!H127=0,"",Bilanca!H127)</f>
      </c>
      <c r="H119" s="30">
        <f t="shared" si="4"/>
        <v>1260661.26</v>
      </c>
      <c r="I119" s="31">
        <f t="shared" si="5"/>
        <v>0</v>
      </c>
      <c r="J119" s="31">
        <f>Bilanca!I127</f>
        <v>287831</v>
      </c>
      <c r="K119" s="31">
        <f>Bilanca!J127</f>
        <v>390263</v>
      </c>
    </row>
    <row r="120" spans="4:11" ht="12.75">
      <c r="D120" s="4" t="s">
        <v>1521</v>
      </c>
      <c r="E120" s="4">
        <v>1</v>
      </c>
      <c r="F120" s="4">
        <f>Bilanca!G128</f>
        <v>119</v>
      </c>
      <c r="G120" s="4">
        <f>IF(Bilanca!H128=0,"",Bilanca!H128)</f>
      </c>
      <c r="H120" s="30">
        <f t="shared" si="4"/>
        <v>13332398.239999998</v>
      </c>
      <c r="I120" s="31">
        <f t="shared" si="5"/>
        <v>0</v>
      </c>
      <c r="J120" s="31">
        <f>Bilanca!I128</f>
        <v>3756198</v>
      </c>
      <c r="K120" s="31">
        <f>Bilanca!J128</f>
        <v>3723749</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212091.22000000003</v>
      </c>
      <c r="I122" s="31">
        <f t="shared" si="5"/>
        <v>0</v>
      </c>
      <c r="J122" s="31">
        <f>Bilanca!I130</f>
        <v>4038</v>
      </c>
      <c r="K122" s="31">
        <f>Bilanca!J130</f>
        <v>85622</v>
      </c>
    </row>
    <row r="123" spans="4:11" ht="12.75">
      <c r="D123" s="4" t="s">
        <v>1521</v>
      </c>
      <c r="E123" s="4">
        <v>1</v>
      </c>
      <c r="F123" s="4">
        <f>Bilanca!G131</f>
        <v>122</v>
      </c>
      <c r="G123" s="4">
        <f>IF(Bilanca!H131=0,"",Bilanca!H131)</f>
      </c>
      <c r="H123" s="30">
        <f t="shared" si="4"/>
        <v>2791922.42</v>
      </c>
      <c r="I123" s="31">
        <f t="shared" si="5"/>
        <v>0</v>
      </c>
      <c r="J123" s="31">
        <f>Bilanca!I131</f>
        <v>2288461</v>
      </c>
      <c r="K123" s="31">
        <f>Bilanca!J131</f>
        <v>0</v>
      </c>
    </row>
    <row r="124" spans="4:11" ht="12.75">
      <c r="D124" s="4" t="s">
        <v>1521</v>
      </c>
      <c r="E124" s="4">
        <v>1</v>
      </c>
      <c r="F124" s="4">
        <f>Bilanca!G132</f>
        <v>123</v>
      </c>
      <c r="G124" s="4">
        <f>IF(Bilanca!H132=0,"",Bilanca!H132)</f>
      </c>
      <c r="H124" s="30">
        <f t="shared" si="4"/>
        <v>817657043.52</v>
      </c>
      <c r="I124" s="31">
        <f t="shared" si="5"/>
        <v>0</v>
      </c>
      <c r="J124" s="31">
        <f>Bilanca!I132</f>
        <v>219254546</v>
      </c>
      <c r="K124" s="31">
        <f>Bilanca!J132</f>
        <v>222753639</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297529185</v>
      </c>
      <c r="I126" s="4">
        <f t="shared" si="5"/>
        <v>0</v>
      </c>
      <c r="J126" s="31">
        <f>RDG!I8</f>
        <v>79875692</v>
      </c>
      <c r="K126" s="31">
        <f>RDG!J8</f>
        <v>79073828</v>
      </c>
    </row>
    <row r="127" spans="4:11" ht="12.75">
      <c r="D127" s="4" t="s">
        <v>541</v>
      </c>
      <c r="E127" s="4">
        <v>2</v>
      </c>
      <c r="F127" s="4">
        <f>RDG!G9</f>
        <v>126</v>
      </c>
      <c r="G127" s="4">
        <f>IF(RDG!H9=0,"",RDG!H9)</f>
      </c>
      <c r="H127" s="30">
        <f t="shared" si="4"/>
        <v>18014299.38</v>
      </c>
      <c r="I127" s="4">
        <f t="shared" si="5"/>
        <v>0</v>
      </c>
      <c r="J127" s="31">
        <f>RDG!I9</f>
        <v>2941479</v>
      </c>
      <c r="K127" s="31">
        <f>RDG!J9</f>
        <v>5677792</v>
      </c>
    </row>
    <row r="128" spans="4:11" ht="12.75">
      <c r="D128" s="4" t="s">
        <v>541</v>
      </c>
      <c r="E128" s="4">
        <v>2</v>
      </c>
      <c r="F128" s="4">
        <f>RDG!G10</f>
        <v>127</v>
      </c>
      <c r="G128" s="4">
        <f>IF(RDG!H10=0,"",RDG!H10)</f>
      </c>
      <c r="H128" s="30">
        <f aca="true" t="shared" si="6" ref="H128:H190">J128/100*F128+2*K128/100*F128</f>
        <v>265513350.10000002</v>
      </c>
      <c r="I128" s="4">
        <f aca="true" t="shared" si="7" ref="I128:I190">ABS(ROUND(J128,0)-J128)+ABS(ROUND(K128,0)-K128)</f>
        <v>0</v>
      </c>
      <c r="J128" s="31">
        <f>RDG!I10</f>
        <v>71643048</v>
      </c>
      <c r="K128" s="31">
        <f>RDG!J10</f>
        <v>68711291</v>
      </c>
    </row>
    <row r="129" spans="4:11" ht="12.75">
      <c r="D129" s="4" t="s">
        <v>541</v>
      </c>
      <c r="E129" s="4">
        <v>2</v>
      </c>
      <c r="F129" s="4">
        <f>RDG!G11</f>
        <v>128</v>
      </c>
      <c r="G129" s="4">
        <f>IF(RDG!H11=0,"",RDG!H11)</f>
      </c>
      <c r="H129" s="30">
        <f t="shared" si="6"/>
        <v>9610106.88</v>
      </c>
      <c r="I129" s="4">
        <f t="shared" si="7"/>
        <v>0</v>
      </c>
      <c r="J129" s="31">
        <f>RDG!I11</f>
        <v>2639216</v>
      </c>
      <c r="K129" s="31">
        <f>RDG!J11</f>
        <v>2434340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9298586.7</v>
      </c>
      <c r="I131" s="4">
        <f t="shared" si="7"/>
        <v>0</v>
      </c>
      <c r="J131" s="31">
        <f>RDG!I13</f>
        <v>2651949</v>
      </c>
      <c r="K131" s="31">
        <f>RDG!J13</f>
        <v>2250405</v>
      </c>
    </row>
    <row r="132" spans="4:11" ht="12.75">
      <c r="D132" s="4" t="s">
        <v>541</v>
      </c>
      <c r="E132" s="4">
        <v>2</v>
      </c>
      <c r="F132" s="4">
        <f>RDG!G14</f>
        <v>131</v>
      </c>
      <c r="G132" s="4">
        <f>IF(RDG!H14=0,"",RDG!H14)</f>
      </c>
      <c r="H132" s="30">
        <f t="shared" si="6"/>
        <v>320984652.12</v>
      </c>
      <c r="I132" s="4">
        <f t="shared" si="7"/>
        <v>0</v>
      </c>
      <c r="J132" s="31">
        <f>RDG!I14</f>
        <v>82670716</v>
      </c>
      <c r="K132" s="31">
        <f>RDG!J14</f>
        <v>81177868</v>
      </c>
    </row>
    <row r="133" spans="4:11" ht="12.75">
      <c r="D133" s="4" t="s">
        <v>541</v>
      </c>
      <c r="E133" s="4">
        <v>2</v>
      </c>
      <c r="F133" s="4">
        <f>RDG!G15</f>
        <v>132</v>
      </c>
      <c r="G133" s="4">
        <f>IF(RDG!H15=0,"",RDG!H15)</f>
      </c>
      <c r="H133" s="30">
        <f t="shared" si="6"/>
        <v>-10292131.08</v>
      </c>
      <c r="I133" s="4">
        <f t="shared" si="7"/>
        <v>0</v>
      </c>
      <c r="J133" s="31">
        <f>RDG!I15</f>
        <v>2319589</v>
      </c>
      <c r="K133" s="31">
        <f>RDG!J15</f>
        <v>-5058329</v>
      </c>
    </row>
    <row r="134" spans="4:11" ht="12.75">
      <c r="D134" s="4" t="s">
        <v>541</v>
      </c>
      <c r="E134" s="4">
        <v>2</v>
      </c>
      <c r="F134" s="4">
        <f>RDG!G16</f>
        <v>133</v>
      </c>
      <c r="G134" s="4">
        <f>IF(RDG!H16=0,"",RDG!H16)</f>
      </c>
      <c r="H134" s="30">
        <f t="shared" si="6"/>
        <v>241117527.42000002</v>
      </c>
      <c r="I134" s="4">
        <f t="shared" si="7"/>
        <v>0</v>
      </c>
      <c r="J134" s="31">
        <f>RDG!I16</f>
        <v>57043756</v>
      </c>
      <c r="K134" s="31">
        <f>RDG!J16</f>
        <v>62123809</v>
      </c>
    </row>
    <row r="135" spans="4:11" ht="12.75">
      <c r="D135" s="4" t="s">
        <v>541</v>
      </c>
      <c r="E135" s="4">
        <v>2</v>
      </c>
      <c r="F135" s="4">
        <f>RDG!G17</f>
        <v>134</v>
      </c>
      <c r="G135" s="4">
        <f>IF(RDG!H17=0,"",RDG!H17)</f>
      </c>
      <c r="H135" s="30">
        <f t="shared" si="6"/>
        <v>50921657.58</v>
      </c>
      <c r="I135" s="4">
        <f t="shared" si="7"/>
        <v>0</v>
      </c>
      <c r="J135" s="31">
        <f>RDG!I17</f>
        <v>11676147</v>
      </c>
      <c r="K135" s="31">
        <f>RDG!J17</f>
        <v>13162545</v>
      </c>
    </row>
    <row r="136" spans="4:11" ht="12.75">
      <c r="D136" s="4" t="s">
        <v>541</v>
      </c>
      <c r="E136" s="4">
        <v>2</v>
      </c>
      <c r="F136" s="4">
        <f>RDG!G18</f>
        <v>135</v>
      </c>
      <c r="G136" s="4">
        <f>IF(RDG!H18=0,"",RDG!H18)</f>
      </c>
      <c r="H136" s="30">
        <f t="shared" si="6"/>
        <v>8592382.8</v>
      </c>
      <c r="I136" s="4">
        <f t="shared" si="7"/>
        <v>0</v>
      </c>
      <c r="J136" s="31">
        <f>RDG!I18</f>
        <v>3778040</v>
      </c>
      <c r="K136" s="31">
        <f>RDG!J18</f>
        <v>1293344</v>
      </c>
    </row>
    <row r="137" spans="4:11" ht="12.75">
      <c r="D137" s="4" t="s">
        <v>541</v>
      </c>
      <c r="E137" s="4">
        <v>2</v>
      </c>
      <c r="F137" s="4">
        <f>RDG!G19</f>
        <v>136</v>
      </c>
      <c r="G137" s="4">
        <f>IF(RDG!H19=0,"",RDG!H19)</f>
      </c>
      <c r="H137" s="30">
        <f t="shared" si="6"/>
        <v>186218556.24</v>
      </c>
      <c r="I137" s="4">
        <f t="shared" si="7"/>
        <v>0</v>
      </c>
      <c r="J137" s="31">
        <f>RDG!I19</f>
        <v>41589569</v>
      </c>
      <c r="K137" s="31">
        <f>RDG!J19</f>
        <v>47667920</v>
      </c>
    </row>
    <row r="138" spans="4:11" ht="12.75">
      <c r="D138" s="4" t="s">
        <v>541</v>
      </c>
      <c r="E138" s="4">
        <v>2</v>
      </c>
      <c r="F138" s="4">
        <f>RDG!G20</f>
        <v>137</v>
      </c>
      <c r="G138" s="4">
        <f>IF(RDG!H20=0,"",RDG!H20)</f>
      </c>
      <c r="H138" s="30">
        <f t="shared" si="6"/>
        <v>56830352.33</v>
      </c>
      <c r="I138" s="4">
        <f t="shared" si="7"/>
        <v>0</v>
      </c>
      <c r="J138" s="31">
        <f>RDG!I20</f>
        <v>14474479</v>
      </c>
      <c r="K138" s="31">
        <f>RDG!J20</f>
        <v>13503765</v>
      </c>
    </row>
    <row r="139" spans="4:11" ht="12.75">
      <c r="D139" s="4" t="s">
        <v>541</v>
      </c>
      <c r="E139" s="4">
        <v>2</v>
      </c>
      <c r="F139" s="4">
        <f>RDG!G21</f>
        <v>138</v>
      </c>
      <c r="G139" s="4">
        <f>IF(RDG!H21=0,"",RDG!H21)</f>
      </c>
      <c r="H139" s="30">
        <f t="shared" si="6"/>
        <v>34358585.88</v>
      </c>
      <c r="I139" s="4">
        <f t="shared" si="7"/>
        <v>0</v>
      </c>
      <c r="J139" s="31">
        <f>RDG!I21</f>
        <v>8606770</v>
      </c>
      <c r="K139" s="31">
        <f>RDG!J21</f>
        <v>8145378</v>
      </c>
    </row>
    <row r="140" spans="4:11" ht="12.75">
      <c r="D140" s="4" t="s">
        <v>541</v>
      </c>
      <c r="E140" s="4">
        <v>2</v>
      </c>
      <c r="F140" s="4">
        <f>RDG!G22</f>
        <v>139</v>
      </c>
      <c r="G140" s="4">
        <f>IF(RDG!H22=0,"",RDG!H22)</f>
      </c>
      <c r="H140" s="30">
        <f t="shared" si="6"/>
        <v>15070820.629999999</v>
      </c>
      <c r="I140" s="4">
        <f t="shared" si="7"/>
        <v>0</v>
      </c>
      <c r="J140" s="31">
        <f>RDG!I22</f>
        <v>3992563</v>
      </c>
      <c r="K140" s="31">
        <f>RDG!J22</f>
        <v>3424877</v>
      </c>
    </row>
    <row r="141" spans="4:11" ht="12.75">
      <c r="D141" s="4" t="s">
        <v>541</v>
      </c>
      <c r="E141" s="4">
        <v>2</v>
      </c>
      <c r="F141" s="4">
        <f>RDG!G23</f>
        <v>140</v>
      </c>
      <c r="G141" s="4">
        <f>IF(RDG!H23=0,"",RDG!H23)</f>
      </c>
      <c r="H141" s="30">
        <f t="shared" si="6"/>
        <v>8039032.4</v>
      </c>
      <c r="I141" s="4">
        <f t="shared" si="7"/>
        <v>0</v>
      </c>
      <c r="J141" s="31">
        <f>RDG!I23</f>
        <v>1875146</v>
      </c>
      <c r="K141" s="31">
        <f>RDG!J23</f>
        <v>1933510</v>
      </c>
    </row>
    <row r="142" spans="4:11" ht="12.75">
      <c r="D142" s="4" t="s">
        <v>541</v>
      </c>
      <c r="E142" s="4">
        <v>2</v>
      </c>
      <c r="F142" s="4">
        <f>RDG!G24</f>
        <v>141</v>
      </c>
      <c r="G142" s="4">
        <f>IF(RDG!H24=0,"",RDG!H24)</f>
      </c>
      <c r="H142" s="30">
        <f t="shared" si="6"/>
        <v>18013013.67</v>
      </c>
      <c r="I142" s="4">
        <f t="shared" si="7"/>
        <v>0</v>
      </c>
      <c r="J142" s="31">
        <f>RDG!I24</f>
        <v>4267175</v>
      </c>
      <c r="K142" s="31">
        <f>RDG!J24</f>
        <v>4254006</v>
      </c>
    </row>
    <row r="143" spans="4:11" ht="12.75">
      <c r="D143" s="4" t="s">
        <v>541</v>
      </c>
      <c r="E143" s="4">
        <v>2</v>
      </c>
      <c r="F143" s="4">
        <f>RDG!G25</f>
        <v>142</v>
      </c>
      <c r="G143" s="4">
        <f>IF(RDG!H25=0,"",RDG!H25)</f>
      </c>
      <c r="H143" s="30">
        <f t="shared" si="6"/>
        <v>16957891.34</v>
      </c>
      <c r="I143" s="4">
        <f t="shared" si="7"/>
        <v>0</v>
      </c>
      <c r="J143" s="31">
        <f>RDG!I25</f>
        <v>4391991</v>
      </c>
      <c r="K143" s="31">
        <f>RDG!J25</f>
        <v>3775093</v>
      </c>
    </row>
    <row r="144" spans="4:11" ht="12.75">
      <c r="D144" s="4" t="s">
        <v>541</v>
      </c>
      <c r="E144" s="4">
        <v>2</v>
      </c>
      <c r="F144" s="4">
        <f>RDG!G26</f>
        <v>143</v>
      </c>
      <c r="G144" s="4">
        <f>IF(RDG!H26=0,"",RDG!H26)</f>
      </c>
      <c r="H144" s="30">
        <f t="shared" si="6"/>
        <v>2056019.68</v>
      </c>
      <c r="I144" s="4">
        <f t="shared" si="7"/>
        <v>0</v>
      </c>
      <c r="J144" s="31">
        <f>RDG!I26</f>
        <v>0</v>
      </c>
      <c r="K144" s="31">
        <f>RDG!J26</f>
        <v>718888</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2084775.2</v>
      </c>
      <c r="I146" s="4">
        <f t="shared" si="7"/>
        <v>0</v>
      </c>
      <c r="J146" s="31">
        <f>RDG!I28</f>
        <v>0</v>
      </c>
      <c r="K146" s="31">
        <f>RDG!J28</f>
        <v>718888</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5959346.94</v>
      </c>
      <c r="I154" s="4">
        <f t="shared" si="7"/>
        <v>0</v>
      </c>
      <c r="J154" s="31">
        <f>RDG!I36</f>
        <v>173726</v>
      </c>
      <c r="K154" s="31">
        <f>RDG!J36</f>
        <v>1860636</v>
      </c>
    </row>
    <row r="155" spans="4:11" ht="12.75">
      <c r="D155" s="4" t="s">
        <v>541</v>
      </c>
      <c r="E155" s="4">
        <v>2</v>
      </c>
      <c r="F155" s="4">
        <f>RDG!G37</f>
        <v>154</v>
      </c>
      <c r="G155" s="4">
        <f>IF(RDG!H37=0,"",RDG!H37)</f>
      </c>
      <c r="H155" s="30">
        <f t="shared" si="6"/>
        <v>1628121.8800000001</v>
      </c>
      <c r="I155" s="4">
        <f t="shared" si="7"/>
        <v>0</v>
      </c>
      <c r="J155" s="31">
        <f>RDG!I37</f>
        <v>362526</v>
      </c>
      <c r="K155" s="31">
        <f>RDG!J37</f>
        <v>347348</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893428.38</v>
      </c>
      <c r="I159" s="4">
        <f t="shared" si="7"/>
        <v>0</v>
      </c>
      <c r="J159" s="31">
        <f>RDG!I41</f>
        <v>188789</v>
      </c>
      <c r="K159" s="31">
        <f>RDG!J41</f>
        <v>188336</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131169.91999999998</v>
      </c>
      <c r="I162" s="4">
        <f t="shared" si="7"/>
        <v>0</v>
      </c>
      <c r="J162" s="31">
        <f>RDG!I44</f>
        <v>9132</v>
      </c>
      <c r="K162" s="31">
        <f>RDG!J44</f>
        <v>36170</v>
      </c>
    </row>
    <row r="163" spans="4:11" ht="12.75">
      <c r="D163" s="4" t="s">
        <v>541</v>
      </c>
      <c r="E163" s="4">
        <v>2</v>
      </c>
      <c r="F163" s="4">
        <f>RDG!G45</f>
        <v>162</v>
      </c>
      <c r="G163" s="4">
        <f>IF(RDG!H45=0,"",RDG!H45)</f>
      </c>
      <c r="H163" s="30">
        <f t="shared" si="6"/>
        <v>664668.1799999999</v>
      </c>
      <c r="I163" s="4">
        <f t="shared" si="7"/>
        <v>0</v>
      </c>
      <c r="J163" s="31">
        <f>RDG!I45</f>
        <v>164605</v>
      </c>
      <c r="K163" s="31">
        <f>RDG!J45</f>
        <v>122842</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4547832.300000001</v>
      </c>
      <c r="I166" s="4">
        <f t="shared" si="7"/>
        <v>0</v>
      </c>
      <c r="J166" s="31">
        <f>RDG!I48</f>
        <v>1448552</v>
      </c>
      <c r="K166" s="31">
        <f>RDG!J48</f>
        <v>653855</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1971648</v>
      </c>
      <c r="I169" s="4">
        <f t="shared" si="7"/>
        <v>0</v>
      </c>
      <c r="J169" s="31">
        <f>RDG!I51</f>
        <v>832662</v>
      </c>
      <c r="K169" s="31">
        <f>RDG!J51</f>
        <v>170469</v>
      </c>
    </row>
    <row r="170" spans="4:11" ht="12.75">
      <c r="D170" s="4" t="s">
        <v>541</v>
      </c>
      <c r="E170" s="4">
        <v>2</v>
      </c>
      <c r="F170" s="4">
        <f>RDG!G52</f>
        <v>169</v>
      </c>
      <c r="G170" s="4">
        <f>IF(RDG!H52=0,"",RDG!H52)</f>
      </c>
      <c r="H170" s="30">
        <f t="shared" si="6"/>
        <v>2674698.78</v>
      </c>
      <c r="I170" s="4">
        <f t="shared" si="7"/>
        <v>0</v>
      </c>
      <c r="J170" s="31">
        <f>RDG!I52</f>
        <v>615890</v>
      </c>
      <c r="K170" s="31">
        <f>RDG!J52</f>
        <v>483386</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423172608.90000004</v>
      </c>
      <c r="I178" s="4">
        <f t="shared" si="7"/>
        <v>0</v>
      </c>
      <c r="J178" s="31">
        <f>RDG!I60</f>
        <v>80238218</v>
      </c>
      <c r="K178" s="31">
        <f>RDG!J60</f>
        <v>79421176</v>
      </c>
    </row>
    <row r="179" spans="4:11" ht="12.75">
      <c r="D179" s="4" t="s">
        <v>541</v>
      </c>
      <c r="E179" s="4">
        <v>2</v>
      </c>
      <c r="F179" s="4">
        <f>RDG!G61</f>
        <v>178</v>
      </c>
      <c r="G179" s="4">
        <f>IF(RDG!H61=0,"",RDG!H61)</f>
      </c>
      <c r="H179" s="30">
        <f t="shared" si="6"/>
        <v>441053230.92</v>
      </c>
      <c r="I179" s="4">
        <f t="shared" si="7"/>
        <v>0</v>
      </c>
      <c r="J179" s="31">
        <f>RDG!I61</f>
        <v>84119268</v>
      </c>
      <c r="K179" s="31">
        <f>RDG!J61</f>
        <v>81831723</v>
      </c>
    </row>
    <row r="180" spans="4:11" ht="12.75">
      <c r="D180" s="4" t="s">
        <v>541</v>
      </c>
      <c r="E180" s="4">
        <v>2</v>
      </c>
      <c r="F180" s="4">
        <f>RDG!G62</f>
        <v>179</v>
      </c>
      <c r="G180" s="4">
        <f>IF(RDG!H62=0,"",RDG!H62)</f>
      </c>
      <c r="H180" s="30">
        <f t="shared" si="6"/>
        <v>-15576837.76</v>
      </c>
      <c r="I180" s="4">
        <f t="shared" si="7"/>
        <v>0</v>
      </c>
      <c r="J180" s="31">
        <f>RDG!I62</f>
        <v>-3881050</v>
      </c>
      <c r="K180" s="31">
        <f>RDG!J62</f>
        <v>-2410547</v>
      </c>
    </row>
    <row r="181" spans="4:11" ht="12.75">
      <c r="D181" s="4" t="s">
        <v>541</v>
      </c>
      <c r="E181" s="4">
        <v>2</v>
      </c>
      <c r="F181" s="4">
        <f>RDG!G63</f>
        <v>180</v>
      </c>
      <c r="G181" s="4">
        <f>IF(RDG!H63=0,"",RDG!H63)</f>
      </c>
      <c r="H181" s="30">
        <f t="shared" si="6"/>
        <v>0</v>
      </c>
      <c r="I181" s="4">
        <f t="shared" si="7"/>
        <v>0</v>
      </c>
      <c r="J181" s="31">
        <f>RDG!I63</f>
        <v>0</v>
      </c>
      <c r="K181" s="31">
        <f>RDG!J63</f>
        <v>0</v>
      </c>
    </row>
    <row r="182" spans="4:11" ht="12.75">
      <c r="D182" s="4" t="s">
        <v>541</v>
      </c>
      <c r="E182" s="4">
        <v>2</v>
      </c>
      <c r="F182" s="4">
        <f>RDG!G64</f>
        <v>181</v>
      </c>
      <c r="G182" s="4">
        <f>IF(RDG!H64=0,"",RDG!H64)</f>
      </c>
      <c r="H182" s="30">
        <f t="shared" si="6"/>
        <v>15750880.64</v>
      </c>
      <c r="I182" s="4">
        <f t="shared" si="7"/>
        <v>0</v>
      </c>
      <c r="J182" s="31">
        <f>RDG!I64</f>
        <v>3881050</v>
      </c>
      <c r="K182" s="31">
        <f>RDG!J64</f>
        <v>2410547</v>
      </c>
    </row>
    <row r="183" spans="4:11" ht="12.75">
      <c r="D183" s="4" t="s">
        <v>541</v>
      </c>
      <c r="E183" s="4">
        <v>2</v>
      </c>
      <c r="F183" s="4">
        <f>RDG!G65</f>
        <v>182</v>
      </c>
      <c r="G183" s="4">
        <f>IF(RDG!H65=0,"",RDG!H65)</f>
      </c>
      <c r="H183" s="30">
        <f t="shared" si="6"/>
        <v>-1864440.76</v>
      </c>
      <c r="I183" s="4">
        <f t="shared" si="7"/>
        <v>0</v>
      </c>
      <c r="J183" s="31">
        <f>RDG!I65</f>
        <v>-437700</v>
      </c>
      <c r="K183" s="31">
        <f>RDG!J65</f>
        <v>-293359</v>
      </c>
    </row>
    <row r="184" spans="4:11" ht="12.75">
      <c r="D184" s="4" t="s">
        <v>541</v>
      </c>
      <c r="E184" s="4">
        <v>2</v>
      </c>
      <c r="F184" s="4">
        <f>RDG!G66</f>
        <v>183</v>
      </c>
      <c r="G184" s="4">
        <f>IF(RDG!H66=0,"",RDG!H66)</f>
      </c>
      <c r="H184" s="30">
        <f t="shared" si="6"/>
        <v>-14050238.58</v>
      </c>
      <c r="I184" s="4">
        <f t="shared" si="7"/>
        <v>0</v>
      </c>
      <c r="J184" s="31">
        <f>RDG!I66</f>
        <v>-3443350</v>
      </c>
      <c r="K184" s="31">
        <f>RDG!J66</f>
        <v>-2117188</v>
      </c>
    </row>
    <row r="185" spans="4:11" ht="12.75">
      <c r="D185" s="4" t="s">
        <v>541</v>
      </c>
      <c r="E185" s="4">
        <v>2</v>
      </c>
      <c r="F185" s="4">
        <f>RDG!G67</f>
        <v>184</v>
      </c>
      <c r="G185" s="4">
        <f>IF(RDG!H67=0,"",RDG!H67)</f>
      </c>
      <c r="H185" s="30">
        <f t="shared" si="6"/>
        <v>0</v>
      </c>
      <c r="I185" s="4">
        <f t="shared" si="7"/>
        <v>0</v>
      </c>
      <c r="J185" s="31">
        <f>RDG!I67</f>
        <v>0</v>
      </c>
      <c r="K185" s="31">
        <f>RDG!J67</f>
        <v>0</v>
      </c>
    </row>
    <row r="186" spans="4:11" ht="12.75">
      <c r="D186" s="4" t="s">
        <v>541</v>
      </c>
      <c r="E186" s="4">
        <v>2</v>
      </c>
      <c r="F186" s="4">
        <f>RDG!G68</f>
        <v>185</v>
      </c>
      <c r="G186" s="4">
        <f>IF(RDG!H68=0,"",RDG!H68)</f>
      </c>
      <c r="H186" s="30">
        <f t="shared" si="6"/>
        <v>14203793.100000001</v>
      </c>
      <c r="I186" s="4">
        <f t="shared" si="7"/>
        <v>0</v>
      </c>
      <c r="J186" s="31">
        <f>RDG!I68</f>
        <v>3443350</v>
      </c>
      <c r="K186" s="31">
        <f>RDG!J68</f>
        <v>2117188</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32883244.9</v>
      </c>
      <c r="I231" s="4">
        <f t="shared" si="11"/>
        <v>0</v>
      </c>
      <c r="J231" s="31">
        <f>Dodatni!I23</f>
        <v>2941479</v>
      </c>
      <c r="K231" s="31">
        <f>Dodatni!J23</f>
        <v>5677792</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573781606.14</v>
      </c>
      <c r="I242" s="4">
        <f t="shared" si="11"/>
        <v>0</v>
      </c>
      <c r="J242" s="31">
        <f>Dodatni!I35</f>
        <v>79875692</v>
      </c>
      <c r="K242" s="31">
        <f>Dodatni!J35</f>
        <v>79103981</v>
      </c>
    </row>
    <row r="243" spans="4:11" ht="12.75">
      <c r="D243" s="4" t="s">
        <v>1522</v>
      </c>
      <c r="E243" s="4">
        <v>3</v>
      </c>
      <c r="F243" s="4">
        <f>Dodatni!H37</f>
        <v>242</v>
      </c>
      <c r="H243" s="30">
        <f t="shared" si="10"/>
        <v>540537717.06</v>
      </c>
      <c r="I243" s="4">
        <f t="shared" si="11"/>
        <v>0</v>
      </c>
      <c r="J243" s="31">
        <f>Dodatni!I37</f>
        <v>74584527</v>
      </c>
      <c r="K243" s="31">
        <f>Dodatni!J37</f>
        <v>74389083</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70"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153"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Bc Institut za oplemenjivanje i proizvodnju bilja, dioničko društvo</v>
      </c>
      <c r="X2" s="209" t="s">
        <v>207</v>
      </c>
      <c r="Y2" s="231">
        <f>IF(RefStr!C54&lt;&gt;"",RefStr!C54,"")</f>
        <v>100</v>
      </c>
      <c r="Z2" s="209" t="s">
        <v>2326</v>
      </c>
      <c r="AA2" s="231">
        <f>IF(RefStr!B64="","",RefStr!B64)</f>
      </c>
    </row>
    <row r="3" spans="1:27" ht="13.5" customHeight="1">
      <c r="A3" s="494" t="s">
        <v>2472</v>
      </c>
      <c r="B3" s="495"/>
      <c r="C3" s="495"/>
      <c r="D3" s="495"/>
      <c r="E3" s="495"/>
      <c r="F3" s="495"/>
      <c r="G3" s="495"/>
      <c r="H3" s="495"/>
      <c r="I3" s="502"/>
      <c r="J3" s="503"/>
      <c r="L3" s="145"/>
      <c r="M3" s="145"/>
      <c r="N3" s="208" t="s">
        <v>541</v>
      </c>
      <c r="O3" s="211">
        <f>RDG!Q1</f>
        <v>1</v>
      </c>
      <c r="P3" s="212">
        <f>RDG!Q2</f>
        <v>1</v>
      </c>
      <c r="Q3" s="232">
        <f>RDG!Q3</f>
        <v>1</v>
      </c>
      <c r="R3" s="211" t="s">
        <v>1824</v>
      </c>
      <c r="S3" s="232">
        <f>IF(RefStr!C50&lt;&gt;"",IF(ISERROR(INT(RefStr!C50)),0,RefStr!C50),0)</f>
        <v>3</v>
      </c>
      <c r="T3" s="211" t="s">
        <v>777</v>
      </c>
      <c r="U3" s="232">
        <f>RefStr!L21</f>
        <v>0</v>
      </c>
      <c r="V3" s="211" t="s">
        <v>2355</v>
      </c>
      <c r="W3" s="232">
        <f>RefStr!C31</f>
        <v>10370</v>
      </c>
      <c r="X3" s="211" t="s">
        <v>208</v>
      </c>
      <c r="Y3" s="232">
        <f>IF(RefStr!F54&lt;&gt;"",RefStr!F54,"")</f>
        <v>0</v>
      </c>
      <c r="Z3" s="211" t="s">
        <v>2327</v>
      </c>
      <c r="AA3" s="232">
        <f>IF(RefStr!B66="","",RefStr!B66)</f>
      </c>
    </row>
    <row r="4" spans="1:27" ht="13.5" customHeight="1">
      <c r="A4" s="496"/>
      <c r="B4" s="497"/>
      <c r="C4" s="497"/>
      <c r="D4" s="497"/>
      <c r="E4" s="497"/>
      <c r="F4" s="497"/>
      <c r="G4" s="497"/>
      <c r="H4" s="497"/>
      <c r="I4" s="222" t="s">
        <v>15</v>
      </c>
      <c r="J4" s="223">
        <f>SUM(L12:L120)</f>
        <v>0</v>
      </c>
      <c r="L4" s="3"/>
      <c r="M4" s="3"/>
      <c r="N4" s="208" t="s">
        <v>1522</v>
      </c>
      <c r="O4" s="211">
        <f>Dodatni!Q1</f>
        <v>1</v>
      </c>
      <c r="P4" s="212">
        <f>Dodatni!Q2</f>
        <v>1</v>
      </c>
      <c r="Q4" s="232">
        <f>Dodatni!Q3</f>
        <v>1</v>
      </c>
      <c r="R4" s="211" t="s">
        <v>1199</v>
      </c>
      <c r="S4" s="232">
        <f>IF(RefStr!C52&lt;&gt;"",IF(ISERROR(INT(RefStr!C52)),0,RefStr!C52),0)</f>
        <v>22</v>
      </c>
      <c r="T4" s="211" t="s">
        <v>2718</v>
      </c>
      <c r="U4" s="232" t="str">
        <f>RefStr!C27</f>
        <v>81224333034</v>
      </c>
      <c r="V4" s="211" t="s">
        <v>2356</v>
      </c>
      <c r="W4" s="232" t="str">
        <f>RefStr!F31</f>
        <v>Dugo Selo</v>
      </c>
      <c r="X4" s="234" t="s">
        <v>222</v>
      </c>
      <c r="Y4" s="235" t="str">
        <f>RefStr!I68</f>
        <v>NE</v>
      </c>
      <c r="Z4" s="211" t="s">
        <v>2570</v>
      </c>
      <c r="AA4" s="232" t="str">
        <f>RefStr!N19</f>
        <v>HSFI</v>
      </c>
    </row>
    <row r="5" spans="1:27" ht="13.5" customHeight="1">
      <c r="A5" s="496"/>
      <c r="B5" s="497"/>
      <c r="C5" s="497"/>
      <c r="D5" s="497"/>
      <c r="E5" s="497"/>
      <c r="F5" s="497"/>
      <c r="G5" s="497"/>
      <c r="H5" s="497"/>
      <c r="I5" s="504"/>
      <c r="J5" s="505"/>
      <c r="L5" s="3"/>
      <c r="M5" s="3"/>
      <c r="N5" s="208" t="s">
        <v>1523</v>
      </c>
      <c r="O5" s="211">
        <f>NT_I!Q1</f>
        <v>0</v>
      </c>
      <c r="P5" s="212">
        <f>NT_I!Q2</f>
        <v>0</v>
      </c>
      <c r="Q5" s="232">
        <f>NT_I!Q3</f>
        <v>0</v>
      </c>
      <c r="R5" s="211" t="s">
        <v>1197</v>
      </c>
      <c r="S5" s="232">
        <f>IF(RefStr!C19&lt;&gt;"",IF(ISERROR(INT(RefStr!C19)),0,RefStr!C19),0)</f>
        <v>1</v>
      </c>
      <c r="T5" s="211" t="s">
        <v>2352</v>
      </c>
      <c r="U5" s="232" t="str">
        <f>RefStr!H27</f>
        <v>01053191</v>
      </c>
      <c r="V5" s="211" t="s">
        <v>2357</v>
      </c>
      <c r="W5" s="232" t="str">
        <f>RefStr!C33</f>
        <v>Dugoselska 7, Rugvica</v>
      </c>
      <c r="X5" s="234" t="s">
        <v>2517</v>
      </c>
      <c r="Y5" s="235" t="str">
        <f>RefStr!I62</f>
        <v>NE</v>
      </c>
      <c r="Z5" s="211" t="s">
        <v>691</v>
      </c>
      <c r="AA5" s="232">
        <f>RefStr!M46</f>
        <v>0</v>
      </c>
    </row>
    <row r="6" spans="1:27" ht="13.5" customHeight="1">
      <c r="A6" s="496"/>
      <c r="B6" s="497"/>
      <c r="C6" s="497"/>
      <c r="D6" s="497"/>
      <c r="E6" s="497"/>
      <c r="F6" s="497"/>
      <c r="G6" s="497"/>
      <c r="H6" s="497"/>
      <c r="I6" s="504"/>
      <c r="J6" s="505"/>
      <c r="L6" s="3"/>
      <c r="M6" s="3"/>
      <c r="N6" s="208" t="s">
        <v>1524</v>
      </c>
      <c r="O6" s="211">
        <f>NT_D!Q1</f>
        <v>0</v>
      </c>
      <c r="P6" s="212">
        <f>NT_D!Q2</f>
        <v>0</v>
      </c>
      <c r="Q6" s="232">
        <f>NT_D!Q3</f>
        <v>0</v>
      </c>
      <c r="R6" s="211" t="s">
        <v>1195</v>
      </c>
      <c r="S6" s="232" t="str">
        <f>RefStr!C21</f>
        <v>NE</v>
      </c>
      <c r="T6" s="211" t="s">
        <v>2353</v>
      </c>
      <c r="U6" s="232" t="str">
        <f>RefStr!M27</f>
        <v>080041118</v>
      </c>
      <c r="V6" s="211" t="s">
        <v>2568</v>
      </c>
      <c r="W6" s="232" t="str">
        <f>RefStr!L35</f>
        <v>01/2781-510</v>
      </c>
      <c r="X6" s="211" t="s">
        <v>2514</v>
      </c>
      <c r="Y6" s="232" t="str">
        <f>RefStr!C68</f>
        <v>Kristina Marijašević</v>
      </c>
      <c r="Z6" s="211" t="s">
        <v>1415</v>
      </c>
      <c r="AA6" s="232">
        <f>RefStr!C46</f>
        <v>0</v>
      </c>
    </row>
    <row r="7" spans="1:27" ht="13.5" customHeight="1">
      <c r="A7" s="496"/>
      <c r="B7" s="497"/>
      <c r="C7" s="497"/>
      <c r="D7" s="497"/>
      <c r="E7" s="497"/>
      <c r="F7" s="497"/>
      <c r="G7" s="497"/>
      <c r="H7" s="497"/>
      <c r="I7" s="222" t="s">
        <v>16</v>
      </c>
      <c r="J7" s="224">
        <f>SUM(M12:M120)</f>
        <v>4</v>
      </c>
      <c r="N7" s="208" t="s">
        <v>542</v>
      </c>
      <c r="O7" s="211">
        <f>PK!AA1</f>
        <v>0</v>
      </c>
      <c r="P7" s="212">
        <f>PK!AA2</f>
        <v>0</v>
      </c>
      <c r="Q7" s="232">
        <f>PK!AA3</f>
        <v>0</v>
      </c>
      <c r="R7" s="211" t="s">
        <v>2569</v>
      </c>
      <c r="S7" s="232">
        <f>IF(RefStr!C44&lt;&gt;"",IF(ISERROR(INT(RefStr!C44)),0,RefStr!C44),0)</f>
        <v>7</v>
      </c>
      <c r="T7" s="211" t="s">
        <v>1862</v>
      </c>
      <c r="U7" s="232">
        <f>RefStr!C7</f>
        <v>4</v>
      </c>
      <c r="V7" s="211" t="s">
        <v>1193</v>
      </c>
      <c r="W7" s="232" t="str">
        <f>TRIM(UPPER(RefStr!C35))</f>
        <v>BC-UPRAVA@BC-INSTITUT.HR</v>
      </c>
      <c r="X7" s="211" t="s">
        <v>2515</v>
      </c>
      <c r="Y7" s="232" t="str">
        <f>RefStr!C70</f>
        <v>01/2785-510</v>
      </c>
      <c r="Z7" s="211" t="s">
        <v>1416</v>
      </c>
      <c r="AA7" s="232">
        <f>RefStr!D46</f>
      </c>
    </row>
    <row r="8" spans="1:27" ht="13.5" customHeight="1">
      <c r="A8" s="498"/>
      <c r="B8" s="499"/>
      <c r="C8" s="499"/>
      <c r="D8" s="499"/>
      <c r="E8" s="499"/>
      <c r="F8" s="499"/>
      <c r="G8" s="499"/>
      <c r="H8" s="499"/>
      <c r="I8" s="500"/>
      <c r="J8" s="501"/>
      <c r="L8" s="195"/>
      <c r="M8" s="195"/>
      <c r="N8" s="230" t="s">
        <v>615</v>
      </c>
      <c r="O8" s="213" t="str">
        <f>IF(RefStr!N6="NE","DA",IF(RefStr!N6="DA","NE",RefStr!N6))</f>
        <v>NE</v>
      </c>
      <c r="P8" s="214">
        <f>RefStr!C60</f>
        <v>12</v>
      </c>
      <c r="Q8" s="233">
        <f>RefStr!F60</f>
        <v>12</v>
      </c>
      <c r="R8" s="211" t="s">
        <v>1859</v>
      </c>
      <c r="S8" s="232">
        <f>IF(RefStr!C4&lt;&gt;"",RefStr!C4,0)</f>
        <v>43101</v>
      </c>
      <c r="T8" s="211" t="s">
        <v>1861</v>
      </c>
      <c r="U8" s="232" t="str">
        <f>RefStr!D7</f>
        <v>Dioničko društvo</v>
      </c>
      <c r="V8" s="211" t="s">
        <v>2574</v>
      </c>
      <c r="W8" s="232" t="str">
        <f>RefStr!C42</f>
        <v>7219</v>
      </c>
      <c r="X8" s="211" t="s">
        <v>2516</v>
      </c>
      <c r="Y8" s="232" t="str">
        <f>TRIM(UPPER(RefStr!C72))</f>
        <v>KRISTINA.MARIJASEVIC@BC-INSTITUT.HR</v>
      </c>
      <c r="Z8" s="236" t="s">
        <v>218</v>
      </c>
      <c r="AA8" s="237" t="str">
        <f>RefStr!I56</f>
        <v>NE</v>
      </c>
    </row>
    <row r="9" spans="1:27" ht="13.5" customHeight="1">
      <c r="A9" s="506" t="s">
        <v>566</v>
      </c>
      <c r="B9" s="506"/>
      <c r="C9" s="506" t="s">
        <v>727</v>
      </c>
      <c r="D9" s="506"/>
      <c r="E9" s="506"/>
      <c r="F9" s="506"/>
      <c r="G9" s="506"/>
      <c r="H9" s="506"/>
      <c r="I9" s="506"/>
      <c r="J9" s="506"/>
      <c r="L9" s="195"/>
      <c r="M9" s="195"/>
      <c r="O9" s="230" t="s">
        <v>614</v>
      </c>
      <c r="P9" s="209">
        <f>RefStr!C58</f>
        <v>122</v>
      </c>
      <c r="Q9" s="231">
        <f>RefStr!F58</f>
        <v>124</v>
      </c>
      <c r="R9" s="211" t="s">
        <v>1860</v>
      </c>
      <c r="S9" s="232">
        <f>IF(RefStr!F4&lt;&gt;"",RefStr!F4,0)</f>
        <v>43465</v>
      </c>
      <c r="T9" s="211" t="s">
        <v>1821</v>
      </c>
      <c r="U9" s="232">
        <f>RefStr!C39</f>
        <v>376</v>
      </c>
      <c r="V9" s="211" t="s">
        <v>1414</v>
      </c>
      <c r="W9" s="232" t="str">
        <f>RefStr!D42</f>
        <v>Ostalo istraživanje i eksperimentalni ...</v>
      </c>
      <c r="X9" s="238" t="s">
        <v>221</v>
      </c>
      <c r="Y9" s="239" t="str">
        <f>RefStr!I66</f>
        <v>NE</v>
      </c>
      <c r="Z9" s="236" t="s">
        <v>219</v>
      </c>
      <c r="AA9" s="237" t="str">
        <f>RefStr!I64</f>
        <v>NE</v>
      </c>
    </row>
    <row r="10" spans="1:27" ht="13.5" customHeight="1">
      <c r="A10" s="507"/>
      <c r="B10" s="507"/>
      <c r="C10" s="507"/>
      <c r="D10" s="507"/>
      <c r="E10" s="507"/>
      <c r="F10" s="507"/>
      <c r="G10" s="507"/>
      <c r="H10" s="507"/>
      <c r="I10" s="507"/>
      <c r="J10" s="507"/>
      <c r="L10" s="195"/>
      <c r="M10" s="195"/>
      <c r="O10" s="230" t="s">
        <v>2123</v>
      </c>
      <c r="P10" s="213">
        <f>RefStr!C56</f>
        <v>124</v>
      </c>
      <c r="Q10" s="233">
        <f>RefStr!F56</f>
        <v>126</v>
      </c>
      <c r="R10" s="213" t="s">
        <v>1863</v>
      </c>
      <c r="S10" s="233">
        <f>RefStr!C23</f>
        <v>1</v>
      </c>
      <c r="T10" s="213" t="s">
        <v>2573</v>
      </c>
      <c r="U10" s="233" t="str">
        <f>RefStr!D39</f>
        <v>Rugvica</v>
      </c>
      <c r="V10" s="240"/>
      <c r="W10" s="241"/>
      <c r="X10" s="242" t="s">
        <v>1974</v>
      </c>
      <c r="Y10" s="243">
        <f>RefStr!F12</f>
        <v>2018</v>
      </c>
      <c r="Z10" s="213" t="s">
        <v>209</v>
      </c>
      <c r="AA10" s="233" t="str">
        <f>RefStr!A75</f>
        <v>IVICA IKIĆ</v>
      </c>
    </row>
    <row r="11" spans="1:25" ht="13.5" customHeight="1">
      <c r="A11" s="487" t="s">
        <v>642</v>
      </c>
      <c r="B11" s="488"/>
      <c r="C11" s="488"/>
      <c r="D11" s="488"/>
      <c r="E11" s="488"/>
      <c r="F11" s="488"/>
      <c r="G11" s="488"/>
      <c r="H11" s="488"/>
      <c r="I11" s="488"/>
      <c r="J11" s="489"/>
      <c r="L11" s="195"/>
      <c r="M11" s="195"/>
      <c r="N11" s="208"/>
      <c r="O11" s="215"/>
      <c r="P11" s="215"/>
      <c r="Q11" s="215"/>
      <c r="X11" s="3"/>
      <c r="Y11" s="3"/>
    </row>
    <row r="12" spans="1:15" ht="19.5" customHeight="1">
      <c r="A12" s="219">
        <v>1</v>
      </c>
      <c r="B12" s="221" t="str">
        <f aca="true" t="shared" si="0" ref="B12:B41">IF(L12=1,"Pogreška",IF(M12=1,"Provjera","OK"))</f>
        <v>OK</v>
      </c>
      <c r="C12" s="490" t="s">
        <v>616</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2571</v>
      </c>
      <c r="D13" s="490"/>
      <c r="E13" s="490"/>
      <c r="F13" s="490"/>
      <c r="G13" s="490"/>
      <c r="H13" s="490"/>
      <c r="I13" s="490"/>
      <c r="J13" s="490"/>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641</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2532</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1653</v>
      </c>
      <c r="D16" s="490"/>
      <c r="E16" s="490"/>
      <c r="F16" s="490"/>
      <c r="G16" s="490"/>
      <c r="H16" s="490"/>
      <c r="I16" s="490"/>
      <c r="J16" s="490"/>
      <c r="L16" s="195">
        <f t="shared" si="1"/>
        <v>0</v>
      </c>
      <c r="M16" s="195"/>
      <c r="N16" s="195">
        <f>IF(AND(S5&lt;&gt;1,S5&lt;&gt;2,S5&lt;&gt;3),1,0)</f>
        <v>0</v>
      </c>
      <c r="O16" s="195">
        <f>IF(AND(S5&gt;1,U7&gt;7,U7&lt;&gt;12),1,0)</f>
        <v>0</v>
      </c>
    </row>
    <row r="17" spans="1:20" ht="88.5" customHeight="1">
      <c r="A17" s="219">
        <f t="shared" si="2"/>
        <v>6</v>
      </c>
      <c r="B17" s="221" t="str">
        <f t="shared" si="0"/>
        <v>OK</v>
      </c>
      <c r="C17" s="490" t="s">
        <v>315</v>
      </c>
      <c r="D17" s="490"/>
      <c r="E17" s="490"/>
      <c r="F17" s="490"/>
      <c r="G17" s="490"/>
      <c r="H17" s="490"/>
      <c r="I17" s="490"/>
      <c r="J17" s="490"/>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90" t="s">
        <v>2531</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90" t="s">
        <v>113</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2564</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0" t="s">
        <v>2565</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2566</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2567</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2572</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2132</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1417</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2128</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2133</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2129</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174</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2134</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2135</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2533</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1418</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2136</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2137</v>
      </c>
      <c r="D36" s="490"/>
      <c r="E36" s="490"/>
      <c r="F36" s="490"/>
      <c r="G36" s="490"/>
      <c r="H36" s="490"/>
      <c r="I36" s="490"/>
      <c r="J36" s="490"/>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0" t="s">
        <v>206</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2512</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1502</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2328</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2329</v>
      </c>
      <c r="D41" s="490"/>
      <c r="E41" s="490"/>
      <c r="F41" s="490"/>
      <c r="G41" s="490"/>
      <c r="H41" s="490"/>
      <c r="I41" s="490"/>
      <c r="J41" s="490"/>
      <c r="L41" s="195">
        <f aca="true" t="shared" si="5" ref="L41:L49">MAX(N41:R41)</f>
        <v>0</v>
      </c>
      <c r="M41" s="195"/>
      <c r="N41" s="195">
        <f>IF(LEN(AA10)&lt;5,1,0)</f>
        <v>0</v>
      </c>
      <c r="O41" s="195"/>
    </row>
    <row r="42" spans="1:16" ht="19.5" customHeight="1">
      <c r="A42" s="491" t="s">
        <v>516</v>
      </c>
      <c r="B42" s="492"/>
      <c r="C42" s="492"/>
      <c r="D42" s="492"/>
      <c r="E42" s="492"/>
      <c r="F42" s="492"/>
      <c r="G42" s="492"/>
      <c r="H42" s="492"/>
      <c r="I42" s="492"/>
      <c r="J42" s="493"/>
      <c r="L42" s="195">
        <f t="shared" si="5"/>
        <v>0</v>
      </c>
      <c r="M42" s="195"/>
      <c r="N42" s="195"/>
      <c r="O42" s="195"/>
      <c r="P42" s="195"/>
    </row>
    <row r="43" spans="1:17" ht="30" customHeight="1">
      <c r="A43" s="219">
        <f>A41+1</f>
        <v>31</v>
      </c>
      <c r="B43" s="221" t="str">
        <f>IF(L43=1,"Pogreška",IF(M43=1,"Provjera","OK"))</f>
        <v>OK</v>
      </c>
      <c r="C43" s="490" t="s">
        <v>755</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1029</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0" t="s">
        <v>1969</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728</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729</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1970</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2127</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3, a upisana veličina je 3.</v>
      </c>
      <c r="D50" s="490"/>
      <c r="E50" s="490"/>
      <c r="F50" s="490"/>
      <c r="G50" s="490"/>
      <c r="H50" s="490"/>
      <c r="I50" s="490"/>
      <c r="J50" s="490"/>
      <c r="L50" s="195">
        <f>IF(N50&lt;&gt;S3,1,0)</f>
        <v>0</v>
      </c>
      <c r="M50" s="195"/>
      <c r="N50" s="195">
        <f>IF(P8&gt;0,O50,AC50)</f>
        <v>3</v>
      </c>
      <c r="O50" s="199">
        <f>IF(SUM(Y50:AA50)&gt;1,4,IF(SUM(U50:W50)&gt;1,3,IF(SUM(Q50:S50)&gt;1,2,IF(S6="DA",2,1))))</f>
        <v>3</v>
      </c>
      <c r="P50" s="202" t="s">
        <v>2666</v>
      </c>
      <c r="Q50" s="202">
        <f>IF(Bilanca!I73&gt;2600000,1,0)</f>
        <v>1</v>
      </c>
      <c r="R50" s="201">
        <f>IF(RDG!I60&gt;5200000,1,0)</f>
        <v>1</v>
      </c>
      <c r="S50" s="201">
        <f>IF(P10&gt;10,1,0)</f>
        <v>1</v>
      </c>
      <c r="T50" s="201" t="s">
        <v>1948</v>
      </c>
      <c r="U50" s="201">
        <f>IF(Bilanca!I73&gt;30000000,1,0)</f>
        <v>1</v>
      </c>
      <c r="V50" s="201">
        <f>IF(RDG!I60&gt;60000000,1,0)</f>
        <v>1</v>
      </c>
      <c r="W50" s="201">
        <f>IF(P10&gt;50,1,0)</f>
        <v>1</v>
      </c>
      <c r="X50" s="201" t="s">
        <v>1949</v>
      </c>
      <c r="Y50" s="201">
        <f>IF(Bilanca!I73&gt;150000000,1,0)</f>
        <v>1</v>
      </c>
      <c r="Z50" s="201">
        <f>IF(RDG!I60&gt;300000000,1,0)</f>
        <v>0</v>
      </c>
      <c r="AA50" s="201">
        <f>IF(P10&gt;250,1,0)</f>
        <v>0</v>
      </c>
      <c r="AC50" s="199">
        <f>IF(SUM(AM50:AO50)&gt;1,4,IF(SUM(AI50:AK50)&gt;1,3,IF(SUM(AE50:AG50)&gt;1,2,IF(S6="DA",2,1))))</f>
        <v>3</v>
      </c>
      <c r="AD50" s="202" t="s">
        <v>2666</v>
      </c>
      <c r="AE50" s="202">
        <f>IF(Bilanca!J73&gt;2600000,1,0)</f>
        <v>1</v>
      </c>
      <c r="AF50" s="201">
        <f>IF(S9&gt;S8,IF(RDG!J60*365/(S9-S8)&gt;5200000,1,0),0)</f>
        <v>1</v>
      </c>
      <c r="AG50" s="201">
        <f>IF(Q10&gt;10,1,0)</f>
        <v>1</v>
      </c>
      <c r="AH50" s="201" t="s">
        <v>1948</v>
      </c>
      <c r="AI50" s="201">
        <f>IF(Bilanca!J73&gt;30000000,1,0)</f>
        <v>1</v>
      </c>
      <c r="AJ50" s="201">
        <f>IF(S9&gt;S8,IF(RDG!J60*365/(S9-S8)&gt;60000000,1,0),0)</f>
        <v>1</v>
      </c>
      <c r="AK50" s="201">
        <f>IF(Q10&gt;50,1,0)</f>
        <v>1</v>
      </c>
      <c r="AL50" s="201" t="s">
        <v>1949</v>
      </c>
      <c r="AM50" s="201">
        <f>IF(Bilanca!J73&gt;150000000,1,0)</f>
        <v>1</v>
      </c>
      <c r="AN50" s="201">
        <f>IF(S9&gt;S8,IF(RDG!J60*365/(S9-S8)&gt;300000000,1,0),0)</f>
        <v>0</v>
      </c>
      <c r="AO50" s="201">
        <f>IF(Q10&gt;250,1,0)</f>
        <v>0</v>
      </c>
    </row>
    <row r="51" spans="1:18" ht="45" customHeight="1">
      <c r="A51" s="219">
        <f t="shared" si="6"/>
        <v>39</v>
      </c>
      <c r="B51" s="221" t="str">
        <f t="shared" si="7"/>
        <v>OK</v>
      </c>
      <c r="C51" s="490" t="s">
        <v>1649</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1650</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1</v>
      </c>
      <c r="AC52" s="225">
        <f>IF(P10&gt;25,1,0)</f>
        <v>1</v>
      </c>
    </row>
    <row r="53" spans="1:15" ht="30" customHeight="1">
      <c r="A53" s="219">
        <f t="shared" si="6"/>
        <v>41</v>
      </c>
      <c r="B53" s="221" t="str">
        <f t="shared" si="7"/>
        <v>OK</v>
      </c>
      <c r="C53" s="490" t="s">
        <v>1129</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2896</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2897</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2539</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0" t="s">
        <v>823</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0" t="s">
        <v>1030</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1456</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1457</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1458</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1459</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438</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439</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440</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1130</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220</v>
      </c>
      <c r="D67" s="490"/>
      <c r="E67" s="490"/>
      <c r="F67" s="490"/>
      <c r="G67" s="490"/>
      <c r="H67" s="490"/>
      <c r="I67" s="490"/>
      <c r="J67" s="490"/>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90" t="s">
        <v>756</v>
      </c>
      <c r="D69" s="490"/>
      <c r="E69" s="490"/>
      <c r="F69" s="490"/>
      <c r="G69" s="490"/>
      <c r="H69" s="490"/>
      <c r="I69" s="490"/>
      <c r="J69" s="490"/>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0" t="s">
        <v>1460</v>
      </c>
      <c r="D70" s="490"/>
      <c r="E70" s="490"/>
      <c r="F70" s="490"/>
      <c r="G70" s="490"/>
      <c r="H70" s="490"/>
      <c r="I70" s="490"/>
      <c r="J70" s="490"/>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0"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0" t="s">
        <v>818</v>
      </c>
      <c r="D72" s="490"/>
      <c r="E72" s="490"/>
      <c r="F72" s="490"/>
      <c r="G72" s="490"/>
      <c r="H72" s="490"/>
      <c r="I72" s="490"/>
      <c r="J72" s="490"/>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90" t="s">
        <v>331</v>
      </c>
      <c r="D74" s="490"/>
      <c r="E74" s="490"/>
      <c r="F74" s="490"/>
      <c r="G74" s="490"/>
      <c r="H74" s="490"/>
      <c r="I74" s="490"/>
      <c r="J74" s="490"/>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0" t="s">
        <v>115</v>
      </c>
      <c r="D75" s="490"/>
      <c r="E75" s="490"/>
      <c r="F75" s="490"/>
      <c r="G75" s="490"/>
      <c r="H75" s="490"/>
      <c r="I75" s="490"/>
      <c r="J75" s="490"/>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Provjera</v>
      </c>
      <c r="C76" s="490" t="s">
        <v>332</v>
      </c>
      <c r="D76" s="490"/>
      <c r="E76" s="490"/>
      <c r="F76" s="490"/>
      <c r="G76" s="490"/>
      <c r="H76" s="490"/>
      <c r="I76" s="490"/>
      <c r="J76" s="490"/>
      <c r="L76" s="195">
        <f>MAX(N76:R76)</f>
        <v>0</v>
      </c>
      <c r="M76" s="196">
        <f>MAX(S76:W76)</f>
        <v>1</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1</v>
      </c>
      <c r="T76" s="196">
        <f>IF(AND($O$4=1,SUM(Dodatni!J25:J26)+SUM(Dodatni!J28:J30)+SUM(Dodatni!J32:J35)-RDG!J9-RDG!J10-1&gt;0),1,0)</f>
        <v>1</v>
      </c>
    </row>
    <row r="77" spans="1:17" ht="19.5" customHeight="1">
      <c r="A77" s="219">
        <f t="shared" si="13"/>
        <v>64</v>
      </c>
      <c r="B77" s="221" t="str">
        <f t="shared" si="12"/>
        <v>OK</v>
      </c>
      <c r="C77" s="490" t="s">
        <v>116</v>
      </c>
      <c r="D77" s="490"/>
      <c r="E77" s="490"/>
      <c r="F77" s="490"/>
      <c r="G77" s="490"/>
      <c r="H77" s="490"/>
      <c r="I77" s="490"/>
      <c r="J77" s="490"/>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0" t="s">
        <v>117</v>
      </c>
      <c r="D78" s="490"/>
      <c r="E78" s="490"/>
      <c r="F78" s="490"/>
      <c r="G78" s="490"/>
      <c r="H78" s="490"/>
      <c r="I78" s="490"/>
      <c r="J78" s="490"/>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0" t="s">
        <v>118</v>
      </c>
      <c r="D79" s="490"/>
      <c r="E79" s="490"/>
      <c r="F79" s="490"/>
      <c r="G79" s="490"/>
      <c r="H79" s="490"/>
      <c r="I79" s="490"/>
      <c r="J79" s="490"/>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0" t="s">
        <v>119</v>
      </c>
      <c r="D80" s="490"/>
      <c r="E80" s="490"/>
      <c r="F80" s="490"/>
      <c r="G80" s="490"/>
      <c r="H80" s="490"/>
      <c r="I80" s="490"/>
      <c r="J80" s="490"/>
      <c r="L80" s="195">
        <f t="shared" si="14"/>
        <v>0</v>
      </c>
      <c r="M80" s="195"/>
      <c r="N80" s="196">
        <f>IF(Dodatni!I23&gt;RDG!I9,1,0)</f>
        <v>0</v>
      </c>
      <c r="O80" s="196">
        <f>IF(Dodatni!J23&gt;RDG!J9,1,0)</f>
        <v>0</v>
      </c>
      <c r="P80" s="196"/>
      <c r="Q80" s="197"/>
    </row>
    <row r="81" spans="1:17" ht="19.5" customHeight="1">
      <c r="A81" s="219">
        <f t="shared" si="13"/>
        <v>68</v>
      </c>
      <c r="B81" s="221" t="str">
        <f t="shared" si="12"/>
        <v>OK</v>
      </c>
      <c r="C81" s="490" t="s">
        <v>120</v>
      </c>
      <c r="D81" s="490"/>
      <c r="E81" s="490"/>
      <c r="F81" s="490"/>
      <c r="G81" s="490"/>
      <c r="H81" s="490"/>
      <c r="I81" s="490"/>
      <c r="J81" s="490"/>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0" t="s">
        <v>121</v>
      </c>
      <c r="D82" s="490"/>
      <c r="E82" s="490"/>
      <c r="F82" s="490"/>
      <c r="G82" s="490"/>
      <c r="H82" s="490"/>
      <c r="I82" s="490"/>
      <c r="J82" s="490"/>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0" t="s">
        <v>122</v>
      </c>
      <c r="D83" s="490"/>
      <c r="E83" s="490"/>
      <c r="F83" s="490"/>
      <c r="G83" s="490"/>
      <c r="H83" s="490"/>
      <c r="I83" s="490"/>
      <c r="J83" s="490"/>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0" t="s">
        <v>123</v>
      </c>
      <c r="D84" s="490"/>
      <c r="E84" s="490"/>
      <c r="F84" s="490"/>
      <c r="G84" s="490"/>
      <c r="H84" s="490"/>
      <c r="I84" s="490"/>
      <c r="J84" s="490"/>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0" t="s">
        <v>175</v>
      </c>
      <c r="D85" s="490"/>
      <c r="E85" s="490"/>
      <c r="F85" s="490"/>
      <c r="G85" s="490"/>
      <c r="H85" s="490"/>
      <c r="I85" s="490"/>
      <c r="J85" s="490"/>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0" t="s">
        <v>124</v>
      </c>
      <c r="D86" s="490"/>
      <c r="E86" s="490"/>
      <c r="F86" s="490"/>
      <c r="G86" s="490"/>
      <c r="H86" s="490"/>
      <c r="I86" s="490"/>
      <c r="J86" s="490"/>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0" t="s">
        <v>126</v>
      </c>
      <c r="D87" s="490"/>
      <c r="E87" s="490"/>
      <c r="F87" s="490"/>
      <c r="G87" s="490"/>
      <c r="H87" s="490"/>
      <c r="I87" s="490"/>
      <c r="J87" s="490"/>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0" t="s">
        <v>127</v>
      </c>
      <c r="D88" s="490"/>
      <c r="E88" s="490"/>
      <c r="F88" s="490"/>
      <c r="G88" s="490"/>
      <c r="H88" s="490"/>
      <c r="I88" s="490"/>
      <c r="J88" s="490"/>
      <c r="L88" s="195">
        <f t="shared" si="14"/>
        <v>0</v>
      </c>
      <c r="M88" s="195"/>
      <c r="N88" s="195">
        <f>IF(Dodatni!I73&gt;RDG!I37,1,0)</f>
        <v>0</v>
      </c>
      <c r="O88" s="195">
        <f>IF(Dodatni!J73&gt;RDG!J37,1,0)</f>
        <v>0</v>
      </c>
      <c r="P88" s="195"/>
    </row>
    <row r="89" spans="1:16" ht="19.5" customHeight="1">
      <c r="A89" s="219">
        <f>A88+1</f>
        <v>76</v>
      </c>
      <c r="B89" s="221" t="str">
        <f>IF(L89=1,"Pogreška",IF(M89=1,"Provjera","OK"))</f>
        <v>OK</v>
      </c>
      <c r="C89" s="490" t="s">
        <v>128</v>
      </c>
      <c r="D89" s="490"/>
      <c r="E89" s="490"/>
      <c r="F89" s="490"/>
      <c r="G89" s="490"/>
      <c r="H89" s="490"/>
      <c r="I89" s="490"/>
      <c r="J89" s="490"/>
      <c r="L89" s="195">
        <f t="shared" si="14"/>
        <v>0</v>
      </c>
      <c r="M89" s="195"/>
      <c r="N89" s="195">
        <f>IF(Dodatni!I76&gt;RDG!I48,1,0)</f>
        <v>0</v>
      </c>
      <c r="O89" s="195">
        <f>IF(Dodatni!J76&gt;RDG!J48,1,0)</f>
        <v>0</v>
      </c>
      <c r="P89" s="195"/>
    </row>
    <row r="90" spans="1:16" ht="19.5" customHeight="1">
      <c r="A90" s="219">
        <f>A89+1</f>
        <v>77</v>
      </c>
      <c r="B90" s="221" t="str">
        <f>IF(L90=1,"Pogreška",IF(M90=1,"Provjera","OK"))</f>
        <v>OK</v>
      </c>
      <c r="C90" s="490" t="s">
        <v>1652</v>
      </c>
      <c r="D90" s="490"/>
      <c r="E90" s="490"/>
      <c r="F90" s="490"/>
      <c r="G90" s="490"/>
      <c r="H90" s="490"/>
      <c r="I90" s="490"/>
      <c r="J90" s="490"/>
      <c r="L90" s="195">
        <f t="shared" si="14"/>
        <v>0</v>
      </c>
      <c r="M90" s="195"/>
      <c r="N90" s="195">
        <f>IF(Dodatni!I78&lt;Dodatni!I84,1,0)</f>
        <v>0</v>
      </c>
      <c r="O90" s="195">
        <f>IF(Dodatni!J78&lt;Dodatni!J84,1,0)</f>
        <v>0</v>
      </c>
      <c r="P90" s="195"/>
    </row>
    <row r="91" spans="1:16" ht="19.5" customHeight="1">
      <c r="A91" s="219">
        <f>A90+1</f>
        <v>78</v>
      </c>
      <c r="B91" s="221" t="str">
        <f>IF(L91=1,"Pogreška",IF(M91=1,"Provjera","OK"))</f>
        <v>Provjera</v>
      </c>
      <c r="C91" s="490" t="s">
        <v>2534</v>
      </c>
      <c r="D91" s="490"/>
      <c r="E91" s="490"/>
      <c r="F91" s="490"/>
      <c r="G91" s="490"/>
      <c r="H91" s="490"/>
      <c r="I91" s="490"/>
      <c r="J91" s="490"/>
      <c r="L91" s="195">
        <v>0</v>
      </c>
      <c r="M91" s="195">
        <f>MAX(N91:O91)</f>
        <v>1</v>
      </c>
      <c r="N91" s="195">
        <f>IF(AND(P4&gt;0,O8&lt;&gt;"DA",Dodatni!I50=0),1,0)</f>
        <v>1</v>
      </c>
      <c r="O91" s="195">
        <f>IF(AND(Q4&gt;0,O8&lt;&gt;"DA",Dodatni!J50=0),1,0)</f>
        <v>1</v>
      </c>
      <c r="P91" s="195"/>
    </row>
    <row r="92" spans="1:16" ht="30" customHeight="1">
      <c r="A92" s="219">
        <f>A91+1</f>
        <v>79</v>
      </c>
      <c r="B92" s="221" t="str">
        <f>IF(L92=1,"Pogreška",IF(M92=1,"Provjera","OK"))</f>
        <v>Provjera</v>
      </c>
      <c r="C92" s="490" t="s">
        <v>2535</v>
      </c>
      <c r="D92" s="490"/>
      <c r="E92" s="490"/>
      <c r="F92" s="490"/>
      <c r="G92" s="490"/>
      <c r="H92" s="490"/>
      <c r="I92" s="490"/>
      <c r="J92" s="490"/>
      <c r="L92" s="195">
        <v>0</v>
      </c>
      <c r="M92" s="195">
        <f>MAX(N92:O92)</f>
        <v>1</v>
      </c>
      <c r="N92" s="195">
        <f>IF(AND(P4&gt;0,O8&lt;&gt;"DA",Dodatni!I51=0),1,0)</f>
        <v>1</v>
      </c>
      <c r="O92" s="195">
        <f>IF(AND(Q4&gt;0,O8&lt;&gt;"DA",Dodatni!J51=0),1,0)</f>
        <v>1</v>
      </c>
      <c r="P92" s="195"/>
    </row>
    <row r="93" spans="1:16" ht="19.5" customHeight="1">
      <c r="A93" s="219">
        <f t="shared" si="13"/>
        <v>80</v>
      </c>
      <c r="B93" s="221" t="str">
        <f aca="true" t="shared" si="15" ref="B93:B98">IF(L93=1,"Pogreška",IF(M93=1,"Provjera","OK"))</f>
        <v>OK</v>
      </c>
      <c r="C93" s="490" t="s">
        <v>2536</v>
      </c>
      <c r="D93" s="490"/>
      <c r="E93" s="490"/>
      <c r="F93" s="490"/>
      <c r="G93" s="490"/>
      <c r="H93" s="490"/>
      <c r="I93" s="490"/>
      <c r="J93" s="490"/>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0" t="s">
        <v>2537</v>
      </c>
      <c r="D94" s="490"/>
      <c r="E94" s="490"/>
      <c r="F94" s="490"/>
      <c r="G94" s="490"/>
      <c r="H94" s="490"/>
      <c r="I94" s="490"/>
      <c r="J94" s="490"/>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0" t="s">
        <v>2538</v>
      </c>
      <c r="D95" s="490"/>
      <c r="E95" s="490"/>
      <c r="F95" s="490"/>
      <c r="G95" s="490"/>
      <c r="H95" s="490"/>
      <c r="I95" s="490"/>
      <c r="J95" s="490"/>
      <c r="L95" s="195">
        <v>0</v>
      </c>
      <c r="M95" s="195">
        <f>MAX(N95:O95)</f>
        <v>0</v>
      </c>
      <c r="N95" s="195">
        <f>IF(Dodatni!I52&gt;RDG!I18,1,0)</f>
        <v>0</v>
      </c>
      <c r="O95" s="195">
        <f>IF(Dodatni!J52&gt;RDG!J18,1,0)</f>
        <v>0</v>
      </c>
      <c r="P95" s="195"/>
    </row>
    <row r="96" spans="1:21" ht="41.25" customHeight="1">
      <c r="A96" s="219">
        <f t="shared" si="13"/>
        <v>83</v>
      </c>
      <c r="B96" s="221" t="str">
        <f t="shared" si="15"/>
        <v>OK</v>
      </c>
      <c r="C96" s="490" t="s">
        <v>757</v>
      </c>
      <c r="D96" s="490"/>
      <c r="E96" s="490"/>
      <c r="F96" s="490"/>
      <c r="G96" s="490"/>
      <c r="H96" s="490"/>
      <c r="I96" s="490"/>
      <c r="J96" s="490"/>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90" t="s">
        <v>2122</v>
      </c>
      <c r="D97" s="490"/>
      <c r="E97" s="490"/>
      <c r="F97" s="490"/>
      <c r="G97" s="490"/>
      <c r="H97" s="490"/>
      <c r="I97" s="490"/>
      <c r="J97" s="490"/>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Provjera</v>
      </c>
      <c r="C98" s="490" t="s">
        <v>758</v>
      </c>
      <c r="D98" s="490"/>
      <c r="E98" s="490"/>
      <c r="F98" s="490"/>
      <c r="G98" s="490"/>
      <c r="H98" s="490"/>
      <c r="I98" s="490"/>
      <c r="J98" s="490"/>
      <c r="L98" s="195">
        <v>0</v>
      </c>
      <c r="M98" s="195">
        <f t="shared" si="16"/>
        <v>1</v>
      </c>
      <c r="N98" s="195">
        <f>IF(AND($O$8&lt;&gt;"DA",P4&gt;0,Dodatni!I62=0),1,0)</f>
        <v>1</v>
      </c>
      <c r="O98" s="195">
        <f>IF(AND($O$8&lt;&gt;"DA",Q4&gt;0,Dodatni!J62=0),1,0)</f>
        <v>1</v>
      </c>
      <c r="P98" s="195"/>
    </row>
    <row r="99" spans="1:16" ht="30" customHeight="1">
      <c r="A99" s="219">
        <f t="shared" si="13"/>
        <v>86</v>
      </c>
      <c r="B99" s="221" t="str">
        <f aca="true" t="shared" si="17" ref="B99:B106">IF(L99=1,"Pogreška",IF(M99=1,"Provjera","OK"))</f>
        <v>OK</v>
      </c>
      <c r="C99" s="490" t="s">
        <v>2124</v>
      </c>
      <c r="D99" s="490"/>
      <c r="E99" s="490"/>
      <c r="F99" s="490"/>
      <c r="G99" s="490"/>
      <c r="H99" s="490"/>
      <c r="I99" s="490"/>
      <c r="J99" s="490"/>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0" t="s">
        <v>2125</v>
      </c>
      <c r="D100" s="490"/>
      <c r="E100" s="490"/>
      <c r="F100" s="490"/>
      <c r="G100" s="490"/>
      <c r="H100" s="490"/>
      <c r="I100" s="490"/>
      <c r="J100" s="490"/>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90" t="s">
        <v>2126</v>
      </c>
      <c r="D101" s="490"/>
      <c r="E101" s="490"/>
      <c r="F101" s="490"/>
      <c r="G101" s="490"/>
      <c r="H101" s="490"/>
      <c r="I101" s="490"/>
      <c r="J101" s="490"/>
      <c r="L101" s="195">
        <v>0</v>
      </c>
      <c r="M101" s="195">
        <f t="shared" si="16"/>
        <v>0</v>
      </c>
      <c r="N101" s="195">
        <f>IF(AND(OR(S7=2,S7=3,S7=5,S7=6,S7=7),MIN(RDG!I9:J9,RDG!I12:J12)=0),1,0)</f>
        <v>0</v>
      </c>
      <c r="O101" s="195"/>
      <c r="P101" s="195"/>
    </row>
    <row r="102" spans="1:23" ht="30" customHeight="1">
      <c r="A102" s="219">
        <f t="shared" si="13"/>
        <v>89</v>
      </c>
      <c r="B102" s="221" t="str">
        <f t="shared" si="17"/>
        <v>OK</v>
      </c>
      <c r="C102" s="490" t="s">
        <v>821</v>
      </c>
      <c r="D102" s="490"/>
      <c r="E102" s="490"/>
      <c r="F102" s="490"/>
      <c r="G102" s="490"/>
      <c r="H102" s="490"/>
      <c r="I102" s="490"/>
      <c r="J102" s="490"/>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0" t="s">
        <v>822</v>
      </c>
      <c r="D103" s="490"/>
      <c r="E103" s="490"/>
      <c r="F103" s="490"/>
      <c r="G103" s="490"/>
      <c r="H103" s="490"/>
      <c r="I103" s="490"/>
      <c r="J103" s="490"/>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0" t="s">
        <v>819</v>
      </c>
      <c r="D104" s="490"/>
      <c r="E104" s="490"/>
      <c r="F104" s="490"/>
      <c r="G104" s="490"/>
      <c r="H104" s="490"/>
      <c r="I104" s="490"/>
      <c r="J104" s="490"/>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0" t="s">
        <v>820</v>
      </c>
      <c r="D105" s="490"/>
      <c r="E105" s="490"/>
      <c r="F105" s="490"/>
      <c r="G105" s="490"/>
      <c r="H105" s="490"/>
      <c r="I105" s="490"/>
      <c r="J105" s="490"/>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0" t="s">
        <v>1131</v>
      </c>
      <c r="D106" s="490"/>
      <c r="E106" s="490"/>
      <c r="F106" s="490"/>
      <c r="G106" s="490"/>
      <c r="H106" s="490"/>
      <c r="I106" s="490"/>
      <c r="J106" s="490"/>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90" t="s">
        <v>1032</v>
      </c>
      <c r="D108" s="490"/>
      <c r="E108" s="490"/>
      <c r="F108" s="490"/>
      <c r="G108" s="490"/>
      <c r="H108" s="490"/>
      <c r="I108" s="490"/>
      <c r="J108" s="490"/>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90" t="s">
        <v>2906</v>
      </c>
      <c r="D109" s="490"/>
      <c r="E109" s="490"/>
      <c r="F109" s="490"/>
      <c r="G109" s="490"/>
      <c r="H109" s="490"/>
      <c r="I109" s="490"/>
      <c r="J109" s="490"/>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90" t="s">
        <v>2012</v>
      </c>
      <c r="D110" s="490"/>
      <c r="E110" s="490"/>
      <c r="F110" s="490"/>
      <c r="G110" s="490"/>
      <c r="H110" s="490"/>
      <c r="I110" s="490"/>
      <c r="J110" s="490"/>
      <c r="L110" s="195">
        <f>MAX(N110:O110)</f>
        <v>0</v>
      </c>
      <c r="M110" s="195"/>
      <c r="N110" s="195">
        <f>IF(AND(S5=1,AA8&lt;&gt;"NE"),1,0)</f>
        <v>0</v>
      </c>
      <c r="O110" s="195">
        <f>IF(AND(S5&gt;1,AA8&lt;&gt;"DA"),1,0)</f>
        <v>0</v>
      </c>
    </row>
    <row r="111" spans="1:19" ht="64.5" customHeight="1">
      <c r="A111" s="219">
        <f t="shared" si="19"/>
        <v>97</v>
      </c>
      <c r="B111" s="221" t="str">
        <f t="shared" si="18"/>
        <v>OK</v>
      </c>
      <c r="C111" s="490" t="s">
        <v>2013</v>
      </c>
      <c r="D111" s="490"/>
      <c r="E111" s="490"/>
      <c r="F111" s="490"/>
      <c r="G111" s="490"/>
      <c r="H111" s="490"/>
      <c r="I111" s="490"/>
      <c r="J111" s="490"/>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0" t="s">
        <v>2014</v>
      </c>
      <c r="D112" s="490"/>
      <c r="E112" s="490"/>
      <c r="F112" s="490"/>
      <c r="G112" s="490"/>
      <c r="H112" s="490"/>
      <c r="I112" s="490"/>
      <c r="J112" s="490"/>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0" t="s">
        <v>2015</v>
      </c>
      <c r="D113" s="490"/>
      <c r="E113" s="490"/>
      <c r="F113" s="490"/>
      <c r="G113" s="490"/>
      <c r="H113" s="490"/>
      <c r="I113" s="490"/>
      <c r="J113" s="490"/>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0" t="s">
        <v>2907</v>
      </c>
      <c r="D114" s="490"/>
      <c r="E114" s="490"/>
      <c r="F114" s="490"/>
      <c r="G114" s="490"/>
      <c r="H114" s="490"/>
      <c r="I114" s="490"/>
      <c r="J114" s="490"/>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0" t="s">
        <v>2243</v>
      </c>
      <c r="D115" s="490"/>
      <c r="E115" s="490"/>
      <c r="F115" s="490"/>
      <c r="G115" s="490"/>
      <c r="H115" s="490"/>
      <c r="I115" s="490"/>
      <c r="J115" s="490"/>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0" t="s">
        <v>534</v>
      </c>
      <c r="D116" s="490"/>
      <c r="E116" s="490"/>
      <c r="F116" s="490"/>
      <c r="G116" s="490"/>
      <c r="H116" s="490"/>
      <c r="I116" s="490"/>
      <c r="J116" s="490"/>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0" t="s">
        <v>1451</v>
      </c>
      <c r="D117" s="490"/>
      <c r="E117" s="490"/>
      <c r="F117" s="490"/>
      <c r="G117" s="490"/>
      <c r="H117" s="490"/>
      <c r="I117" s="490"/>
      <c r="J117" s="490"/>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90" t="s">
        <v>0</v>
      </c>
      <c r="D118" s="490"/>
      <c r="E118" s="490"/>
      <c r="F118" s="490"/>
      <c r="G118" s="490"/>
      <c r="H118" s="490"/>
      <c r="I118" s="490"/>
      <c r="J118" s="490"/>
      <c r="L118" s="200">
        <f>MAX(N118:N118)</f>
        <v>0</v>
      </c>
      <c r="M118" s="200"/>
      <c r="N118" s="200">
        <f>IF(ISERROR(P118),0,1)</f>
        <v>0</v>
      </c>
      <c r="O118" s="195" t="str">
        <f ca="1">CELL("filename")</f>
        <v>C:\Users\sandra\Desktop\G.ŠKORO\FINANCIJSKI IZVJEŠTAJI 2018\PROCJENA REZULTATA\[GFI-POD, Godišnji financijski izvještaj poduzetnika.xls]Dodatni</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0" t="s">
        <v>1128</v>
      </c>
      <c r="D119" s="490"/>
      <c r="E119" s="490"/>
      <c r="F119" s="490"/>
      <c r="G119" s="490"/>
      <c r="H119" s="490"/>
      <c r="I119" s="490"/>
      <c r="J119" s="490"/>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0" t="s">
        <v>1452</v>
      </c>
      <c r="D120" s="490"/>
      <c r="E120" s="490"/>
      <c r="F120" s="490"/>
      <c r="G120" s="490"/>
      <c r="H120" s="490"/>
      <c r="I120" s="490"/>
      <c r="J120" s="490"/>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45:J45"/>
    <mergeCell ref="C50:J50"/>
    <mergeCell ref="C79:J79"/>
    <mergeCell ref="C95:J95"/>
    <mergeCell ref="C96:J96"/>
    <mergeCell ref="C49:J49"/>
    <mergeCell ref="C72:J72"/>
    <mergeCell ref="C88:J88"/>
    <mergeCell ref="C82:J82"/>
    <mergeCell ref="C86:J86"/>
    <mergeCell ref="C57:J57"/>
    <mergeCell ref="C74:J74"/>
    <mergeCell ref="C101:J101"/>
    <mergeCell ref="C62:J62"/>
    <mergeCell ref="C71:J71"/>
    <mergeCell ref="C97:J97"/>
    <mergeCell ref="C84:J84"/>
    <mergeCell ref="C87:J87"/>
    <mergeCell ref="C83:J83"/>
    <mergeCell ref="C85:J85"/>
    <mergeCell ref="C104:J104"/>
    <mergeCell ref="C103:J103"/>
    <mergeCell ref="C76:J76"/>
    <mergeCell ref="C90:J90"/>
    <mergeCell ref="C89:J89"/>
    <mergeCell ref="C75:J75"/>
    <mergeCell ref="C100:J100"/>
    <mergeCell ref="C80:J80"/>
    <mergeCell ref="C78:J78"/>
    <mergeCell ref="C77:J77"/>
    <mergeCell ref="C66:J66"/>
    <mergeCell ref="C68:J68"/>
    <mergeCell ref="C70:J70"/>
    <mergeCell ref="C67:J67"/>
    <mergeCell ref="C69:J69"/>
    <mergeCell ref="A73:J73"/>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63:J63"/>
    <mergeCell ref="C44:J44"/>
    <mergeCell ref="C58:J58"/>
    <mergeCell ref="C40:J40"/>
    <mergeCell ref="C52:J52"/>
    <mergeCell ref="C53:J53"/>
    <mergeCell ref="C43:J43"/>
    <mergeCell ref="A42:J42"/>
    <mergeCell ref="C48:J48"/>
    <mergeCell ref="C51:J51"/>
    <mergeCell ref="A11:J11"/>
    <mergeCell ref="C54:J54"/>
    <mergeCell ref="C55:J55"/>
    <mergeCell ref="C60:J60"/>
    <mergeCell ref="C61:J61"/>
    <mergeCell ref="C20:J20"/>
    <mergeCell ref="C38:J38"/>
    <mergeCell ref="C12:J12"/>
    <mergeCell ref="C46:J46"/>
    <mergeCell ref="C47:J47"/>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2" activePane="bottomLeft" state="frozen"/>
      <selection pane="topLeft" activeCell="A1" sqref="A1"/>
      <selection pane="bottomLeft" activeCell="L21" sqref="L21:N2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2018</v>
      </c>
    </row>
    <row r="2" spans="1:17" s="148" customFormat="1" ht="60" customHeight="1">
      <c r="A2" s="292" t="s">
        <v>1057</v>
      </c>
      <c r="B2" s="293"/>
      <c r="C2" s="293"/>
      <c r="D2" s="293"/>
      <c r="E2" s="293"/>
      <c r="F2" s="293"/>
      <c r="G2" s="293"/>
      <c r="H2" s="293"/>
      <c r="I2" s="293"/>
      <c r="J2" s="293"/>
      <c r="K2" s="293"/>
      <c r="L2" s="293"/>
      <c r="M2" s="293"/>
      <c r="N2" s="294"/>
      <c r="O2" s="3"/>
      <c r="P2" s="54"/>
      <c r="Q2" s="53">
        <f>IF(F4&lt;&gt;"",YEAR(F4),"")</f>
        <v>2018</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43101</v>
      </c>
      <c r="D4" s="288"/>
      <c r="E4" s="10" t="s">
        <v>1527</v>
      </c>
      <c r="F4" s="287">
        <v>43465</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4</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Dioničko društvo</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21.68</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57.18</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2018</v>
      </c>
      <c r="G12" s="330"/>
      <c r="H12" s="322" t="s">
        <v>2105</v>
      </c>
      <c r="I12" s="323"/>
      <c r="J12" s="323"/>
      <c r="K12" s="156"/>
      <c r="L12" s="156"/>
      <c r="M12" s="156"/>
      <c r="N12" s="156"/>
      <c r="P12" s="54" t="s">
        <v>2353</v>
      </c>
      <c r="Q12" s="55">
        <f>INT(VALUE(H27))/10</f>
        <v>105319.1</v>
      </c>
    </row>
    <row r="13" spans="4:17" ht="9.75" customHeight="1">
      <c r="D13" s="156"/>
      <c r="E13" s="162"/>
      <c r="H13" s="27"/>
      <c r="I13" s="163"/>
      <c r="J13" s="163"/>
      <c r="K13" s="156"/>
      <c r="L13" s="156"/>
      <c r="M13" s="156"/>
      <c r="N13" s="156"/>
      <c r="P13" s="54" t="s">
        <v>2353</v>
      </c>
      <c r="Q13" s="55">
        <f>INT(VALUE(M27))/50</f>
        <v>1600822.36</v>
      </c>
    </row>
    <row r="14" spans="1:17" ht="15">
      <c r="A14" s="321" t="s">
        <v>2714</v>
      </c>
      <c r="B14" s="321"/>
      <c r="C14" s="321"/>
      <c r="D14" s="164"/>
      <c r="E14" s="165"/>
      <c r="F14" s="319"/>
      <c r="G14" s="320"/>
      <c r="H14" s="320"/>
      <c r="I14" s="156"/>
      <c r="J14" s="327" t="s">
        <v>2100</v>
      </c>
      <c r="K14" s="328"/>
      <c r="L14" s="328"/>
      <c r="M14" s="328"/>
      <c r="N14" s="328"/>
      <c r="P14" s="54" t="s">
        <v>2718</v>
      </c>
      <c r="Q14" s="55">
        <f>INT(VALUE(C27))/100</f>
        <v>812243330.34</v>
      </c>
    </row>
    <row r="15" spans="1:17" ht="19.5" customHeight="1">
      <c r="A15" s="324">
        <f>Skriveni!B59</f>
        <v>7462447202.780001</v>
      </c>
      <c r="B15" s="325"/>
      <c r="C15" s="326"/>
      <c r="D15" s="60"/>
      <c r="E15" s="60"/>
      <c r="F15" s="60"/>
      <c r="G15" s="60"/>
      <c r="H15" s="60"/>
      <c r="I15" s="60"/>
      <c r="J15" s="60"/>
      <c r="K15" s="60"/>
      <c r="L15" s="60"/>
      <c r="M15" s="60"/>
      <c r="N15" s="60"/>
      <c r="P15" s="54" t="s">
        <v>1817</v>
      </c>
      <c r="Q15" s="55">
        <f>LEN(Skriveni!B9)</f>
        <v>67</v>
      </c>
    </row>
    <row r="16" spans="4:17" ht="12.75" customHeight="1">
      <c r="D16" s="60"/>
      <c r="E16" s="60"/>
      <c r="F16" s="60"/>
      <c r="G16" s="60"/>
      <c r="H16" s="60"/>
      <c r="I16" s="60"/>
      <c r="P16" s="54" t="s">
        <v>1818</v>
      </c>
      <c r="Q16" s="55">
        <f>INT(VALUE(C31))/100</f>
        <v>103.7</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9</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1</v>
      </c>
      <c r="D19" s="371" t="str">
        <f>IF(C19="","Svrha predaje nije upisana",IF(ISNA(LOOKUP(C19,A118:A120,A118:A120)),"Nepostojeća ili neprepoznatljiva svrha predaje",IF(LOOKUP(C19,A118:A120,A118:A120)&lt;&gt;C19,"Nepostojeća ili neprepoznatljiva svrha predaje",LOOKUP(C19,A118:A120,B118:B120))))</f>
        <v>Predaja samo u statističke svrhe</v>
      </c>
      <c r="E19" s="372"/>
      <c r="F19" s="372"/>
      <c r="G19" s="372"/>
      <c r="H19" s="372"/>
      <c r="I19" s="347" t="s">
        <v>1729</v>
      </c>
      <c r="J19" s="373"/>
      <c r="K19" s="373"/>
      <c r="L19" s="373"/>
      <c r="M19" s="373"/>
      <c r="N19" s="36" t="s">
        <v>2139</v>
      </c>
      <c r="P19" s="54" t="s">
        <v>1820</v>
      </c>
      <c r="Q19" s="55">
        <f>LEN(Skriveni!B12)</f>
        <v>21</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2619</v>
      </c>
      <c r="J21" s="374" t="s">
        <v>2110</v>
      </c>
      <c r="K21" s="373"/>
      <c r="L21" s="274"/>
      <c r="M21" s="342"/>
      <c r="N21" s="277"/>
      <c r="P21" s="54" t="s">
        <v>1821</v>
      </c>
      <c r="Q21" s="55">
        <f>INT(VALUE(C39))</f>
        <v>376</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7219</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2954</v>
      </c>
      <c r="I27" s="275"/>
      <c r="J27" s="279" t="s">
        <v>2099</v>
      </c>
      <c r="K27" s="280"/>
      <c r="L27" s="344"/>
      <c r="M27" s="274" t="s">
        <v>2955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2956</v>
      </c>
      <c r="D29" s="345"/>
      <c r="E29" s="345"/>
      <c r="F29" s="345"/>
      <c r="G29" s="345"/>
      <c r="H29" s="345"/>
      <c r="I29" s="345"/>
      <c r="J29" s="345"/>
      <c r="K29" s="345"/>
      <c r="L29" s="346"/>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10370</v>
      </c>
      <c r="D31" s="335" t="s">
        <v>693</v>
      </c>
      <c r="E31" s="336"/>
      <c r="F31" s="316" t="s">
        <v>1723</v>
      </c>
      <c r="G31" s="337"/>
      <c r="H31" s="337"/>
      <c r="I31" s="337"/>
      <c r="J31" s="337"/>
      <c r="K31" s="337"/>
      <c r="L31" s="338"/>
      <c r="N31" s="60"/>
      <c r="P31" s="54" t="s">
        <v>514</v>
      </c>
      <c r="Q31" s="55">
        <f>INT(VALUE(C19))</f>
        <v>1</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2957</v>
      </c>
      <c r="D33" s="345"/>
      <c r="E33" s="345"/>
      <c r="F33" s="345"/>
      <c r="G33" s="345"/>
      <c r="H33" s="345"/>
      <c r="I33" s="345"/>
      <c r="J33" s="345"/>
      <c r="K33" s="345"/>
      <c r="L33" s="346"/>
      <c r="M33" s="60"/>
      <c r="N33" s="60"/>
      <c r="P33" s="54" t="s">
        <v>1824</v>
      </c>
      <c r="Q33" s="55">
        <f>INT(VALUE(Skriveni!B21))</f>
        <v>2</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2958</v>
      </c>
      <c r="D35" s="340"/>
      <c r="E35" s="340"/>
      <c r="F35" s="340"/>
      <c r="G35" s="340"/>
      <c r="H35" s="340"/>
      <c r="I35" s="341"/>
      <c r="J35" s="283" t="s">
        <v>188</v>
      </c>
      <c r="K35" s="347"/>
      <c r="L35" s="274" t="s">
        <v>2959</v>
      </c>
      <c r="M35" s="342"/>
      <c r="N35" s="277"/>
      <c r="O35" s="54"/>
      <c r="P35" s="54" t="s">
        <v>1199</v>
      </c>
      <c r="Q35" s="55">
        <f>INT(VALUE(C52))</f>
        <v>22</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2960</v>
      </c>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376</v>
      </c>
      <c r="D39" s="348" t="str">
        <f>IF(C39="","Šifra grada/općine nije upisana",IF(ISNA(LOOKUP(C39,A177:A732,A177:A732)),"Šifra grada/općine ne postoji",IF(LOOKUP(C39,A177:A732,A177:A732)&lt;&gt;C39,"Šifra grada/općine ne postoji",LOOKUP(C39,A177:A732,B177:B732))))</f>
        <v>Rugvica</v>
      </c>
      <c r="E39" s="349"/>
      <c r="F39" s="349"/>
      <c r="G39" s="349"/>
      <c r="H39" s="272" t="s">
        <v>2222</v>
      </c>
      <c r="I39" s="344"/>
      <c r="J39" s="58">
        <f>IF(C39&gt;0,LOOKUP(C39,A177:A732,C177:C732),"")</f>
        <v>1</v>
      </c>
      <c r="K39" s="351" t="str">
        <f>IF(J39="","Treba prvo upisati šifru grada/općine",LOOKUP(J39,A153:A173,B153:B173))</f>
        <v>ZAGREBAČKA</v>
      </c>
      <c r="L39" s="351"/>
      <c r="M39" s="351"/>
      <c r="N39" s="351"/>
      <c r="P39" s="54" t="s">
        <v>1826</v>
      </c>
      <c r="Q39" s="55">
        <f>C56+2*F56+3*C58+4*F58</f>
        <v>1238</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2374</v>
      </c>
      <c r="D42" s="353" t="str">
        <f>IF(C42="","Šifra NKD-a nije upisana",IF(ISNA(LOOKUP(C42,A736:A1351,A736:A1351)),"Šifra NKD-a ne postoji",IF(LOOKUP(C42,A736:A1351,A736:A1351)&lt;&gt;C42,"Šifra NKD-a ne postoji",LOOKUP(C42,A736:A1351,B736:B1351))))</f>
        <v>Ostalo istraživanje i eksperimentalni ...</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7</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Krajnje matično društvo u grupi (nema nadređeno društvo) </v>
      </c>
      <c r="E44" s="357"/>
      <c r="F44" s="357"/>
      <c r="G44" s="357"/>
      <c r="H44" s="357"/>
      <c r="I44" s="357"/>
      <c r="J44" s="357"/>
      <c r="K44" s="357"/>
      <c r="L44" s="357"/>
      <c r="M44" s="357"/>
      <c r="N44" s="357"/>
      <c r="P44" s="54" t="s">
        <v>530</v>
      </c>
      <c r="Q44" s="55">
        <f>LEN(Skriveni!B43)</f>
        <v>10</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3</v>
      </c>
      <c r="D50" s="379" t="str">
        <f>IF(C50="","Oznaka veličine nije upisana",IF(ISNA(LOOKUP(C50,A124:A127,A124:A127)),"Nepostojeća oznaka veličine",IF(LOOKUP(C50,A124:A127,A124:A127)&lt;&gt;C50,"Nepostojeća oznaka veličine",LOOKUP(C50,A124:A127,B124:B127))))</f>
        <v>Srednji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22</v>
      </c>
      <c r="D52" s="352" t="str">
        <f>IF(C52="","Oznaka vlasništva nije upisana",IF(ISNA(LOOKUP(C52,A80:A87,A80:A87)),"Nepostojeća oznaka vlasništva",IF(LOOKUP(C52,A80:A87,A80:A87)&lt;&gt;C52,"Nepostojeća oznaka vlasništva",LOOKUP(C52,A80:A87,B80:B87))))</f>
        <v>Privatno nakon pretvorbe</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DA</v>
      </c>
      <c r="J54" s="350" t="s">
        <v>567</v>
      </c>
      <c r="K54" s="312"/>
      <c r="L54" s="312"/>
      <c r="M54" s="312"/>
      <c r="N54" s="312"/>
      <c r="O54" s="186"/>
      <c r="P54" s="54" t="s">
        <v>2569</v>
      </c>
      <c r="Q54" s="54">
        <f>C44/10</f>
        <v>0.7</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124</v>
      </c>
      <c r="D56" s="270" t="s">
        <v>2898</v>
      </c>
      <c r="E56" s="380"/>
      <c r="F56" s="44">
        <v>126</v>
      </c>
      <c r="G56" s="270" t="s">
        <v>2899</v>
      </c>
      <c r="H56" s="271"/>
      <c r="I56" s="226" t="s">
        <v>2619</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122</v>
      </c>
      <c r="D58" s="278" t="s">
        <v>2898</v>
      </c>
      <c r="E58" s="278"/>
      <c r="F58" s="44">
        <v>124</v>
      </c>
      <c r="G58" s="278" t="s">
        <v>2899</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2619</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2961</v>
      </c>
      <c r="D68" s="314"/>
      <c r="E68" s="314"/>
      <c r="F68" s="314"/>
      <c r="G68" s="315"/>
      <c r="H68" s="191"/>
      <c r="I68" s="226" t="s">
        <v>2619</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2962</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2963</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2964</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81" operator="equal" stopIfTrue="1">
      <formula>"DA"</formula>
    </cfRule>
  </conditionalFormatting>
  <conditionalFormatting sqref="F4:G4">
    <cfRule type="cellIs" priority="2" dxfId="78" operator="lessThan" stopIfTrue="1">
      <formula>$C$4</formula>
    </cfRule>
  </conditionalFormatting>
  <conditionalFormatting sqref="D44:N44">
    <cfRule type="cellIs" priority="5" dxfId="70" operator="equal" stopIfTrue="1">
      <formula>"Upisana je nepostojeća ili neprepoznatljiva šifra statusa autonomnosti"</formula>
    </cfRule>
  </conditionalFormatting>
  <conditionalFormatting sqref="N25 D17:N18 D26:N26">
    <cfRule type="cellIs" priority="6" dxfId="70" operator="equal" stopIfTrue="1">
      <formula>"Upisana je nepostojeća ili neprepoznatljiva vrsta izvještaja"</formula>
    </cfRule>
  </conditionalFormatting>
  <conditionalFormatting sqref="C20 D19 I20">
    <cfRule type="cellIs" priority="7" dxfId="70" operator="equal" stopIfTrue="1">
      <formula>"Nepostojeća ili neprepoznatljiva svrha predaje"</formula>
    </cfRule>
  </conditionalFormatting>
  <conditionalFormatting sqref="D42:N42">
    <cfRule type="cellIs" priority="8" dxfId="70" operator="equal" stopIfTrue="1">
      <formula>"Šifra NKD-a ne postoji"</formula>
    </cfRule>
  </conditionalFormatting>
  <conditionalFormatting sqref="E51:G51 D50:D51">
    <cfRule type="cellIs" priority="9" dxfId="70" operator="equal" stopIfTrue="1">
      <formula>"Nepostojeća oznaka veličine"</formula>
    </cfRule>
  </conditionalFormatting>
  <conditionalFormatting sqref="D52:H52">
    <cfRule type="cellIs" priority="10" dxfId="70" operator="equal" stopIfTrue="1">
      <formula>"Nepostojeća oznaka vlasništva"</formula>
    </cfRule>
  </conditionalFormatting>
  <conditionalFormatting sqref="D7:N7">
    <cfRule type="cellIs" priority="11" dxfId="70" operator="equal" stopIfTrue="1">
      <formula>"Upisana je nepostojeća ili neprepoznatljiva vrsta poslovnog subjekta"</formula>
    </cfRule>
  </conditionalFormatting>
  <conditionalFormatting sqref="D39:G39">
    <cfRule type="cellIs" priority="12" dxfId="70"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110" activePane="bottomLeft" state="frozen"/>
      <selection pane="topLeft" activeCell="A1" sqref="A1"/>
      <selection pane="bottomLeft" activeCell="J131" sqref="J13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31.12.2018.</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81224333034; Bc Institut za oplemenjivanje i proizvodnju bilja, dioničko društvo</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102294316</v>
      </c>
      <c r="J10" s="70">
        <f>J11+J18+J28+J39+J44</f>
        <v>101866215</v>
      </c>
    </row>
    <row r="11" spans="1:10" ht="13.5" customHeight="1">
      <c r="A11" s="384" t="s">
        <v>1850</v>
      </c>
      <c r="B11" s="384"/>
      <c r="C11" s="384"/>
      <c r="D11" s="384"/>
      <c r="E11" s="384"/>
      <c r="F11" s="384"/>
      <c r="G11" s="19">
        <v>3</v>
      </c>
      <c r="H11" s="20"/>
      <c r="I11" s="70">
        <f>SUM(I12:I17)</f>
        <v>219834</v>
      </c>
      <c r="J11" s="70">
        <f>SUM(J12:J17)</f>
        <v>441084</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v>219834</v>
      </c>
      <c r="J13" s="71">
        <v>441084</v>
      </c>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c r="J17" s="71"/>
    </row>
    <row r="18" spans="1:10" ht="13.5" customHeight="1">
      <c r="A18" s="384" t="s">
        <v>731</v>
      </c>
      <c r="B18" s="384"/>
      <c r="C18" s="384"/>
      <c r="D18" s="384"/>
      <c r="E18" s="384"/>
      <c r="F18" s="384"/>
      <c r="G18" s="19">
        <v>10</v>
      </c>
      <c r="H18" s="20"/>
      <c r="I18" s="70">
        <f>SUM(I19:I27)</f>
        <v>79210188</v>
      </c>
      <c r="J18" s="70">
        <f>SUM(J19:J27)</f>
        <v>79025697</v>
      </c>
    </row>
    <row r="19" spans="1:10" ht="13.5" customHeight="1">
      <c r="A19" s="383" t="s">
        <v>2176</v>
      </c>
      <c r="B19" s="383"/>
      <c r="C19" s="383"/>
      <c r="D19" s="383"/>
      <c r="E19" s="383"/>
      <c r="F19" s="383"/>
      <c r="G19" s="19">
        <v>11</v>
      </c>
      <c r="H19" s="20"/>
      <c r="I19" s="71">
        <v>25571716</v>
      </c>
      <c r="J19" s="71">
        <v>25842364</v>
      </c>
    </row>
    <row r="20" spans="1:10" ht="13.5" customHeight="1">
      <c r="A20" s="383" t="s">
        <v>543</v>
      </c>
      <c r="B20" s="383"/>
      <c r="C20" s="383"/>
      <c r="D20" s="383"/>
      <c r="E20" s="383"/>
      <c r="F20" s="383"/>
      <c r="G20" s="19">
        <v>12</v>
      </c>
      <c r="H20" s="20"/>
      <c r="I20" s="71">
        <v>52479691</v>
      </c>
      <c r="J20" s="71">
        <v>50641780</v>
      </c>
    </row>
    <row r="21" spans="1:10" ht="13.5" customHeight="1">
      <c r="A21" s="383" t="s">
        <v>2177</v>
      </c>
      <c r="B21" s="383"/>
      <c r="C21" s="383"/>
      <c r="D21" s="383"/>
      <c r="E21" s="383"/>
      <c r="F21" s="383"/>
      <c r="G21" s="19">
        <v>13</v>
      </c>
      <c r="H21" s="20"/>
      <c r="I21" s="71">
        <v>1025585</v>
      </c>
      <c r="J21" s="71">
        <v>2469652</v>
      </c>
    </row>
    <row r="22" spans="1:10" ht="13.5" customHeight="1">
      <c r="A22" s="383" t="s">
        <v>2290</v>
      </c>
      <c r="B22" s="383"/>
      <c r="C22" s="383"/>
      <c r="D22" s="383"/>
      <c r="E22" s="383"/>
      <c r="F22" s="383"/>
      <c r="G22" s="19">
        <v>14</v>
      </c>
      <c r="H22" s="20"/>
      <c r="I22" s="71"/>
      <c r="J22" s="71"/>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v>60521</v>
      </c>
      <c r="J24" s="71"/>
    </row>
    <row r="25" spans="1:10" ht="13.5" customHeight="1">
      <c r="A25" s="383" t="s">
        <v>1083</v>
      </c>
      <c r="B25" s="383"/>
      <c r="C25" s="383"/>
      <c r="D25" s="383"/>
      <c r="E25" s="383"/>
      <c r="F25" s="383"/>
      <c r="G25" s="19">
        <v>17</v>
      </c>
      <c r="H25" s="20"/>
      <c r="I25" s="71">
        <v>774</v>
      </c>
      <c r="J25" s="71"/>
    </row>
    <row r="26" spans="1:10" ht="13.5" customHeight="1">
      <c r="A26" s="383" t="s">
        <v>1084</v>
      </c>
      <c r="B26" s="383"/>
      <c r="C26" s="383"/>
      <c r="D26" s="383"/>
      <c r="E26" s="383"/>
      <c r="F26" s="383"/>
      <c r="G26" s="19">
        <v>18</v>
      </c>
      <c r="H26" s="20"/>
      <c r="I26" s="71">
        <v>71901</v>
      </c>
      <c r="J26" s="71">
        <v>71901</v>
      </c>
    </row>
    <row r="27" spans="1:10" ht="13.5" customHeight="1">
      <c r="A27" s="383" t="s">
        <v>1085</v>
      </c>
      <c r="B27" s="383"/>
      <c r="C27" s="383"/>
      <c r="D27" s="383"/>
      <c r="E27" s="383"/>
      <c r="F27" s="383"/>
      <c r="G27" s="19">
        <v>19</v>
      </c>
      <c r="H27" s="20"/>
      <c r="I27" s="71"/>
      <c r="J27" s="71"/>
    </row>
    <row r="28" spans="1:10" ht="13.5" customHeight="1">
      <c r="A28" s="384" t="s">
        <v>2644</v>
      </c>
      <c r="B28" s="384"/>
      <c r="C28" s="384"/>
      <c r="D28" s="384"/>
      <c r="E28" s="384"/>
      <c r="F28" s="384"/>
      <c r="G28" s="19">
        <v>20</v>
      </c>
      <c r="H28" s="20"/>
      <c r="I28" s="70">
        <f>SUM(I29:I38)</f>
        <v>22162495</v>
      </c>
      <c r="J28" s="70">
        <f>SUM(J29:J38)</f>
        <v>21885267</v>
      </c>
    </row>
    <row r="29" spans="1:10" ht="13.5" customHeight="1">
      <c r="A29" s="383" t="s">
        <v>399</v>
      </c>
      <c r="B29" s="383"/>
      <c r="C29" s="383"/>
      <c r="D29" s="383"/>
      <c r="E29" s="383"/>
      <c r="F29" s="383"/>
      <c r="G29" s="19">
        <v>21</v>
      </c>
      <c r="H29" s="20"/>
      <c r="I29" s="71">
        <v>21884800</v>
      </c>
      <c r="J29" s="71">
        <v>21885267</v>
      </c>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v>277695</v>
      </c>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2645</v>
      </c>
      <c r="B39" s="384"/>
      <c r="C39" s="384"/>
      <c r="D39" s="384"/>
      <c r="E39" s="384"/>
      <c r="F39" s="384"/>
      <c r="G39" s="19">
        <v>31</v>
      </c>
      <c r="H39" s="20"/>
      <c r="I39" s="70">
        <f>SUM(I40:I43)</f>
        <v>701799</v>
      </c>
      <c r="J39" s="70">
        <f>SUM(J40:J43)</f>
        <v>514167</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v>701799</v>
      </c>
      <c r="J43" s="71">
        <v>514167</v>
      </c>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c r="I45" s="70">
        <f>I46+I54+I61+I71</f>
        <v>116287539</v>
      </c>
      <c r="J45" s="70">
        <f>J46+J54+J61+J71</f>
        <v>119646931</v>
      </c>
    </row>
    <row r="46" spans="1:10" ht="13.5" customHeight="1">
      <c r="A46" s="384" t="s">
        <v>2647</v>
      </c>
      <c r="B46" s="384"/>
      <c r="C46" s="384"/>
      <c r="D46" s="384"/>
      <c r="E46" s="384"/>
      <c r="F46" s="384"/>
      <c r="G46" s="19">
        <v>38</v>
      </c>
      <c r="H46" s="20"/>
      <c r="I46" s="70">
        <f>SUM(I47:I53)</f>
        <v>79654762</v>
      </c>
      <c r="J46" s="70">
        <f>SUM(J47:J53)</f>
        <v>82799757</v>
      </c>
    </row>
    <row r="47" spans="1:10" ht="13.5" customHeight="1">
      <c r="A47" s="383" t="s">
        <v>970</v>
      </c>
      <c r="B47" s="383"/>
      <c r="C47" s="383"/>
      <c r="D47" s="383"/>
      <c r="E47" s="383"/>
      <c r="F47" s="383"/>
      <c r="G47" s="19">
        <v>39</v>
      </c>
      <c r="H47" s="20"/>
      <c r="I47" s="71">
        <v>4513775</v>
      </c>
      <c r="J47" s="71">
        <v>5001193</v>
      </c>
    </row>
    <row r="48" spans="1:10" ht="13.5" customHeight="1">
      <c r="A48" s="383" t="s">
        <v>971</v>
      </c>
      <c r="B48" s="383"/>
      <c r="C48" s="383"/>
      <c r="D48" s="383"/>
      <c r="E48" s="383"/>
      <c r="F48" s="383"/>
      <c r="G48" s="19">
        <v>40</v>
      </c>
      <c r="H48" s="20"/>
      <c r="I48" s="71">
        <v>61073674</v>
      </c>
      <c r="J48" s="71">
        <v>58505112</v>
      </c>
    </row>
    <row r="49" spans="1:10" ht="13.5" customHeight="1">
      <c r="A49" s="383" t="s">
        <v>972</v>
      </c>
      <c r="B49" s="383"/>
      <c r="C49" s="383"/>
      <c r="D49" s="383"/>
      <c r="E49" s="383"/>
      <c r="F49" s="383"/>
      <c r="G49" s="19">
        <v>41</v>
      </c>
      <c r="H49" s="20"/>
      <c r="I49" s="71">
        <v>13524797</v>
      </c>
      <c r="J49" s="71">
        <v>19282652</v>
      </c>
    </row>
    <row r="50" spans="1:10" ht="13.5" customHeight="1">
      <c r="A50" s="383" t="s">
        <v>973</v>
      </c>
      <c r="B50" s="383"/>
      <c r="C50" s="383"/>
      <c r="D50" s="383"/>
      <c r="E50" s="383"/>
      <c r="F50" s="383"/>
      <c r="G50" s="19">
        <v>42</v>
      </c>
      <c r="H50" s="20"/>
      <c r="I50" s="71">
        <v>301230</v>
      </c>
      <c r="J50" s="71">
        <v>10800</v>
      </c>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v>241286</v>
      </c>
      <c r="J52" s="71">
        <v>0</v>
      </c>
    </row>
    <row r="53" spans="1:10" ht="13.5" customHeight="1">
      <c r="A53" s="383" t="s">
        <v>347</v>
      </c>
      <c r="B53" s="383"/>
      <c r="C53" s="383"/>
      <c r="D53" s="383"/>
      <c r="E53" s="383"/>
      <c r="F53" s="383"/>
      <c r="G53" s="19">
        <v>45</v>
      </c>
      <c r="H53" s="20"/>
      <c r="I53" s="71"/>
      <c r="J53" s="71"/>
    </row>
    <row r="54" spans="1:10" ht="13.5" customHeight="1">
      <c r="A54" s="384" t="s">
        <v>2648</v>
      </c>
      <c r="B54" s="384"/>
      <c r="C54" s="384"/>
      <c r="D54" s="384"/>
      <c r="E54" s="384"/>
      <c r="F54" s="384"/>
      <c r="G54" s="19">
        <v>46</v>
      </c>
      <c r="H54" s="20"/>
      <c r="I54" s="70">
        <f>SUM(I55:I60)</f>
        <v>24933455</v>
      </c>
      <c r="J54" s="70">
        <f>SUM(J55:J60)</f>
        <v>28240655</v>
      </c>
    </row>
    <row r="55" spans="1:10" ht="13.5" customHeight="1">
      <c r="A55" s="383" t="s">
        <v>348</v>
      </c>
      <c r="B55" s="383"/>
      <c r="C55" s="383"/>
      <c r="D55" s="383"/>
      <c r="E55" s="383"/>
      <c r="F55" s="383"/>
      <c r="G55" s="19">
        <v>47</v>
      </c>
      <c r="H55" s="20"/>
      <c r="I55" s="71">
        <v>11305931</v>
      </c>
      <c r="J55" s="71">
        <v>11967479</v>
      </c>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c r="I57" s="71">
        <v>11365522</v>
      </c>
      <c r="J57" s="71">
        <v>12494483</v>
      </c>
    </row>
    <row r="58" spans="1:10" ht="13.5" customHeight="1">
      <c r="A58" s="383" t="s">
        <v>350</v>
      </c>
      <c r="B58" s="383"/>
      <c r="C58" s="383"/>
      <c r="D58" s="383"/>
      <c r="E58" s="383"/>
      <c r="F58" s="383"/>
      <c r="G58" s="19">
        <v>50</v>
      </c>
      <c r="H58" s="20"/>
      <c r="I58" s="71">
        <v>43278</v>
      </c>
      <c r="J58" s="71">
        <v>12950</v>
      </c>
    </row>
    <row r="59" spans="1:10" ht="13.5" customHeight="1">
      <c r="A59" s="383" t="s">
        <v>351</v>
      </c>
      <c r="B59" s="383"/>
      <c r="C59" s="383"/>
      <c r="D59" s="383"/>
      <c r="E59" s="383"/>
      <c r="F59" s="383"/>
      <c r="G59" s="19">
        <v>51</v>
      </c>
      <c r="H59" s="20"/>
      <c r="I59" s="71">
        <v>1802525</v>
      </c>
      <c r="J59" s="71">
        <v>2505008</v>
      </c>
    </row>
    <row r="60" spans="1:10" ht="13.5" customHeight="1">
      <c r="A60" s="383" t="s">
        <v>2638</v>
      </c>
      <c r="B60" s="383"/>
      <c r="C60" s="383"/>
      <c r="D60" s="383"/>
      <c r="E60" s="383"/>
      <c r="F60" s="383"/>
      <c r="G60" s="19">
        <v>52</v>
      </c>
      <c r="H60" s="20"/>
      <c r="I60" s="71">
        <v>416199</v>
      </c>
      <c r="J60" s="71">
        <v>1260735</v>
      </c>
    </row>
    <row r="61" spans="1:10" ht="13.5" customHeight="1">
      <c r="A61" s="384" t="s">
        <v>2649</v>
      </c>
      <c r="B61" s="384"/>
      <c r="C61" s="384"/>
      <c r="D61" s="384"/>
      <c r="E61" s="384"/>
      <c r="F61" s="384"/>
      <c r="G61" s="19">
        <v>53</v>
      </c>
      <c r="H61" s="20"/>
      <c r="I61" s="70">
        <f>SUM(I62:I70)</f>
        <v>10998558</v>
      </c>
      <c r="J61" s="70">
        <f>SUM(J62:J70)</f>
        <v>8068981</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v>3503351</v>
      </c>
      <c r="J64" s="71">
        <v>4979158</v>
      </c>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v>7495207</v>
      </c>
      <c r="J69" s="71">
        <v>3089823</v>
      </c>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c r="I71" s="71">
        <v>700764</v>
      </c>
      <c r="J71" s="71">
        <v>537538</v>
      </c>
    </row>
    <row r="72" spans="1:10" ht="24.75" customHeight="1">
      <c r="A72" s="381" t="s">
        <v>1558</v>
      </c>
      <c r="B72" s="381"/>
      <c r="C72" s="381"/>
      <c r="D72" s="381"/>
      <c r="E72" s="381"/>
      <c r="F72" s="381"/>
      <c r="G72" s="19">
        <v>64</v>
      </c>
      <c r="H72" s="20"/>
      <c r="I72" s="71">
        <v>672691</v>
      </c>
      <c r="J72" s="71">
        <v>1240494</v>
      </c>
    </row>
    <row r="73" spans="1:10" ht="13.5" customHeight="1">
      <c r="A73" s="381" t="s">
        <v>2650</v>
      </c>
      <c r="B73" s="381"/>
      <c r="C73" s="381"/>
      <c r="D73" s="381"/>
      <c r="E73" s="381"/>
      <c r="F73" s="381"/>
      <c r="G73" s="19">
        <v>65</v>
      </c>
      <c r="H73" s="20"/>
      <c r="I73" s="70">
        <f>I9+I10+I45+I72</f>
        <v>219254546</v>
      </c>
      <c r="J73" s="70">
        <f>J9+J10+J45+J72</f>
        <v>222753640</v>
      </c>
    </row>
    <row r="74" spans="1:10" ht="13.5" customHeight="1">
      <c r="A74" s="382" t="s">
        <v>257</v>
      </c>
      <c r="B74" s="382"/>
      <c r="C74" s="382"/>
      <c r="D74" s="382"/>
      <c r="E74" s="382"/>
      <c r="F74" s="382"/>
      <c r="G74" s="21">
        <v>66</v>
      </c>
      <c r="H74" s="22"/>
      <c r="I74" s="72"/>
      <c r="J74" s="72"/>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179377409</v>
      </c>
      <c r="J76" s="70">
        <f>J77+J78+J79+J85+J86+J90+J93+J96</f>
        <v>175992298</v>
      </c>
      <c r="L76" s="2" t="s">
        <v>2591</v>
      </c>
    </row>
    <row r="77" spans="1:10" ht="13.5" customHeight="1">
      <c r="A77" s="384" t="s">
        <v>935</v>
      </c>
      <c r="B77" s="384"/>
      <c r="C77" s="384"/>
      <c r="D77" s="384"/>
      <c r="E77" s="384"/>
      <c r="F77" s="384"/>
      <c r="G77" s="19">
        <v>68</v>
      </c>
      <c r="H77" s="20"/>
      <c r="I77" s="71">
        <v>29970000</v>
      </c>
      <c r="J77" s="71">
        <v>29970000</v>
      </c>
    </row>
    <row r="78" spans="1:12" ht="13.5" customHeight="1">
      <c r="A78" s="384" t="s">
        <v>936</v>
      </c>
      <c r="B78" s="384"/>
      <c r="C78" s="384"/>
      <c r="D78" s="384"/>
      <c r="E78" s="384"/>
      <c r="F78" s="384"/>
      <c r="G78" s="19">
        <v>69</v>
      </c>
      <c r="H78" s="20"/>
      <c r="I78" s="71"/>
      <c r="J78" s="71"/>
      <c r="L78" s="2" t="s">
        <v>2591</v>
      </c>
    </row>
    <row r="79" spans="1:12" ht="13.5" customHeight="1">
      <c r="A79" s="384" t="s">
        <v>2473</v>
      </c>
      <c r="B79" s="384"/>
      <c r="C79" s="384"/>
      <c r="D79" s="384"/>
      <c r="E79" s="384"/>
      <c r="F79" s="384"/>
      <c r="G79" s="19">
        <v>70</v>
      </c>
      <c r="H79" s="20"/>
      <c r="I79" s="70">
        <f>I80+I81-I82+I83+I84</f>
        <v>15952201</v>
      </c>
      <c r="J79" s="70">
        <f>J80+J81-J82+J83+J84</f>
        <v>15952201</v>
      </c>
      <c r="L79" s="2" t="s">
        <v>2591</v>
      </c>
    </row>
    <row r="80" spans="1:10" ht="13.5" customHeight="1">
      <c r="A80" s="383" t="s">
        <v>2641</v>
      </c>
      <c r="B80" s="383"/>
      <c r="C80" s="383"/>
      <c r="D80" s="383"/>
      <c r="E80" s="383"/>
      <c r="F80" s="383"/>
      <c r="G80" s="19">
        <v>71</v>
      </c>
      <c r="H80" s="20"/>
      <c r="I80" s="71">
        <v>1498500</v>
      </c>
      <c r="J80" s="71">
        <v>1498500</v>
      </c>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v>14453701</v>
      </c>
      <c r="J84" s="71">
        <v>14453701</v>
      </c>
    </row>
    <row r="85" spans="1:12" ht="13.5" customHeight="1">
      <c r="A85" s="384" t="s">
        <v>1606</v>
      </c>
      <c r="B85" s="384"/>
      <c r="C85" s="384"/>
      <c r="D85" s="384"/>
      <c r="E85" s="384"/>
      <c r="F85" s="384"/>
      <c r="G85" s="19">
        <v>76</v>
      </c>
      <c r="H85" s="20"/>
      <c r="I85" s="71">
        <v>50100653</v>
      </c>
      <c r="J85" s="71">
        <v>48106687</v>
      </c>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c r="I90" s="70">
        <f>I91-I92</f>
        <v>86797906</v>
      </c>
      <c r="J90" s="70">
        <f>J91-J92</f>
        <v>84080597</v>
      </c>
      <c r="L90" s="2" t="s">
        <v>2591</v>
      </c>
    </row>
    <row r="91" spans="1:10" ht="13.5" customHeight="1">
      <c r="A91" s="383" t="s">
        <v>1139</v>
      </c>
      <c r="B91" s="383"/>
      <c r="C91" s="383"/>
      <c r="D91" s="383"/>
      <c r="E91" s="383"/>
      <c r="F91" s="383"/>
      <c r="G91" s="19">
        <v>82</v>
      </c>
      <c r="H91" s="20"/>
      <c r="I91" s="71">
        <v>86797906</v>
      </c>
      <c r="J91" s="71">
        <v>84080597</v>
      </c>
    </row>
    <row r="92" spans="1:10" ht="13.5" customHeight="1">
      <c r="A92" s="383" t="s">
        <v>1140</v>
      </c>
      <c r="B92" s="383"/>
      <c r="C92" s="383"/>
      <c r="D92" s="383"/>
      <c r="E92" s="383"/>
      <c r="F92" s="383"/>
      <c r="G92" s="19">
        <v>83</v>
      </c>
      <c r="H92" s="20"/>
      <c r="I92" s="71"/>
      <c r="J92" s="71"/>
    </row>
    <row r="93" spans="1:12" ht="13.5" customHeight="1">
      <c r="A93" s="384" t="s">
        <v>2653</v>
      </c>
      <c r="B93" s="384"/>
      <c r="C93" s="384"/>
      <c r="D93" s="384"/>
      <c r="E93" s="384"/>
      <c r="F93" s="384"/>
      <c r="G93" s="19">
        <v>84</v>
      </c>
      <c r="H93" s="20"/>
      <c r="I93" s="70">
        <f>I94-I95</f>
        <v>-3443351</v>
      </c>
      <c r="J93" s="70">
        <f>J94-J95</f>
        <v>-2117187</v>
      </c>
      <c r="L93" s="2" t="s">
        <v>2591</v>
      </c>
    </row>
    <row r="94" spans="1:10" ht="13.5" customHeight="1">
      <c r="A94" s="383" t="s">
        <v>2640</v>
      </c>
      <c r="B94" s="383"/>
      <c r="C94" s="383"/>
      <c r="D94" s="383"/>
      <c r="E94" s="383"/>
      <c r="F94" s="383"/>
      <c r="G94" s="19">
        <v>85</v>
      </c>
      <c r="H94" s="20"/>
      <c r="I94" s="71"/>
      <c r="J94" s="71"/>
    </row>
    <row r="95" spans="1:10" ht="13.5" customHeight="1">
      <c r="A95" s="383" t="s">
        <v>1141</v>
      </c>
      <c r="B95" s="383"/>
      <c r="C95" s="383"/>
      <c r="D95" s="383"/>
      <c r="E95" s="383"/>
      <c r="F95" s="383"/>
      <c r="G95" s="19">
        <v>86</v>
      </c>
      <c r="H95" s="20"/>
      <c r="I95" s="71">
        <v>3443351</v>
      </c>
      <c r="J95" s="71">
        <v>2117187</v>
      </c>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c r="I97" s="70">
        <f>SUM(I98:I103)</f>
        <v>701949</v>
      </c>
      <c r="J97" s="70">
        <f>SUM(J98:J103)</f>
        <v>589508</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v>701949</v>
      </c>
      <c r="J100" s="71">
        <v>589508</v>
      </c>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c r="I104" s="70">
        <f>SUM(I105:I115)</f>
        <v>10997704</v>
      </c>
      <c r="J104" s="70">
        <f>SUM(J105:J115)</f>
        <v>10560004</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c r="J110" s="71"/>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v>10997704</v>
      </c>
      <c r="J115" s="71">
        <v>10560004</v>
      </c>
    </row>
    <row r="116" spans="1:10" ht="13.5" customHeight="1">
      <c r="A116" s="381" t="s">
        <v>2656</v>
      </c>
      <c r="B116" s="381"/>
      <c r="C116" s="381"/>
      <c r="D116" s="381"/>
      <c r="E116" s="381"/>
      <c r="F116" s="381"/>
      <c r="G116" s="19">
        <v>107</v>
      </c>
      <c r="H116" s="20"/>
      <c r="I116" s="70">
        <f>SUM(I117:I130)</f>
        <v>25889023</v>
      </c>
      <c r="J116" s="70">
        <f>SUM(J117:J130)</f>
        <v>35611829</v>
      </c>
    </row>
    <row r="117" spans="1:10" ht="13.5" customHeight="1">
      <c r="A117" s="383" t="s">
        <v>2193</v>
      </c>
      <c r="B117" s="383"/>
      <c r="C117" s="383"/>
      <c r="D117" s="383"/>
      <c r="E117" s="383"/>
      <c r="F117" s="383"/>
      <c r="G117" s="19">
        <v>108</v>
      </c>
      <c r="H117" s="20"/>
      <c r="I117" s="71"/>
      <c r="J117" s="71">
        <v>47706</v>
      </c>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row>
    <row r="122" spans="1:10" ht="13.5" customHeight="1">
      <c r="A122" s="383" t="s">
        <v>362</v>
      </c>
      <c r="B122" s="383"/>
      <c r="C122" s="383"/>
      <c r="D122" s="383"/>
      <c r="E122" s="383"/>
      <c r="F122" s="383"/>
      <c r="G122" s="19">
        <v>113</v>
      </c>
      <c r="H122" s="20"/>
      <c r="I122" s="71">
        <v>774</v>
      </c>
      <c r="J122" s="71">
        <v>1965657</v>
      </c>
    </row>
    <row r="123" spans="1:10" ht="13.5" customHeight="1">
      <c r="A123" s="383" t="s">
        <v>357</v>
      </c>
      <c r="B123" s="383"/>
      <c r="C123" s="383"/>
      <c r="D123" s="383"/>
      <c r="E123" s="383"/>
      <c r="F123" s="383"/>
      <c r="G123" s="19">
        <v>114</v>
      </c>
      <c r="H123" s="20"/>
      <c r="I123" s="71">
        <v>125278</v>
      </c>
      <c r="J123" s="71">
        <v>949741</v>
      </c>
    </row>
    <row r="124" spans="1:10" ht="13.5" customHeight="1">
      <c r="A124" s="383" t="s">
        <v>358</v>
      </c>
      <c r="B124" s="383"/>
      <c r="C124" s="383"/>
      <c r="D124" s="383"/>
      <c r="E124" s="383"/>
      <c r="F124" s="383"/>
      <c r="G124" s="19">
        <v>115</v>
      </c>
      <c r="H124" s="20"/>
      <c r="I124" s="71">
        <v>21001413</v>
      </c>
      <c r="J124" s="71">
        <v>27725771</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713491</v>
      </c>
      <c r="J126" s="71">
        <v>723320</v>
      </c>
    </row>
    <row r="127" spans="1:10" ht="13.5" customHeight="1">
      <c r="A127" s="383" t="s">
        <v>364</v>
      </c>
      <c r="B127" s="383"/>
      <c r="C127" s="383"/>
      <c r="D127" s="383"/>
      <c r="E127" s="383"/>
      <c r="F127" s="383"/>
      <c r="G127" s="19">
        <v>118</v>
      </c>
      <c r="H127" s="20"/>
      <c r="I127" s="71">
        <v>287831</v>
      </c>
      <c r="J127" s="71">
        <v>390263</v>
      </c>
    </row>
    <row r="128" spans="1:10" ht="13.5" customHeight="1">
      <c r="A128" s="383" t="s">
        <v>365</v>
      </c>
      <c r="B128" s="383"/>
      <c r="C128" s="383"/>
      <c r="D128" s="383"/>
      <c r="E128" s="383"/>
      <c r="F128" s="383"/>
      <c r="G128" s="19">
        <v>119</v>
      </c>
      <c r="H128" s="20"/>
      <c r="I128" s="71">
        <v>3756198</v>
      </c>
      <c r="J128" s="71">
        <v>3723749</v>
      </c>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v>4038</v>
      </c>
      <c r="J130" s="71">
        <v>85622</v>
      </c>
    </row>
    <row r="131" spans="1:10" ht="24.75" customHeight="1">
      <c r="A131" s="381" t="s">
        <v>1560</v>
      </c>
      <c r="B131" s="381"/>
      <c r="C131" s="381"/>
      <c r="D131" s="381"/>
      <c r="E131" s="381"/>
      <c r="F131" s="381"/>
      <c r="G131" s="19">
        <v>122</v>
      </c>
      <c r="H131" s="20"/>
      <c r="I131" s="71">
        <v>2288461</v>
      </c>
      <c r="J131" s="71"/>
    </row>
    <row r="132" spans="1:10" ht="13.5" customHeight="1">
      <c r="A132" s="381" t="s">
        <v>2657</v>
      </c>
      <c r="B132" s="381"/>
      <c r="C132" s="381"/>
      <c r="D132" s="381"/>
      <c r="E132" s="381"/>
      <c r="F132" s="381"/>
      <c r="G132" s="19">
        <v>123</v>
      </c>
      <c r="H132" s="20"/>
      <c r="I132" s="70">
        <f>I76+I97+I104+I116+I131</f>
        <v>219254546</v>
      </c>
      <c r="J132" s="70">
        <f>J76+J97+J104+J116+J131</f>
        <v>222753639</v>
      </c>
    </row>
    <row r="133" spans="1:10" ht="13.5" customHeight="1">
      <c r="A133" s="382" t="s">
        <v>662</v>
      </c>
      <c r="B133" s="382"/>
      <c r="C133" s="382"/>
      <c r="D133" s="382"/>
      <c r="E133" s="382"/>
      <c r="F133" s="382"/>
      <c r="G133" s="21">
        <v>124</v>
      </c>
      <c r="H133" s="22"/>
      <c r="I133" s="72"/>
      <c r="J133" s="72"/>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6:IV90 I96:J96 I93:J93 I78:J79 J80:J84 J85:IV85">
    <cfRule type="cellIs" priority="30" dxfId="2" operator="notEqual" stopIfTrue="1">
      <formula>ROUND(I76,0)</formula>
    </cfRule>
  </conditionalFormatting>
  <conditionalFormatting sqref="I9:J12 J77 I94:J94 I97:J99 I92:J92 I14:J18 I27:J28 J19:J26 I38:J42 J29:J37 I44:J46 J43 I53:J54 J47:J52 I61:J63 J55:J60 I73:J74 J64:J72 J91 J95 I101:J114 J100 I116:J121 J115 I132:J133 J122:J131">
    <cfRule type="cellIs" priority="31" dxfId="2" operator="notEqual" stopIfTrue="1">
      <formula>ROUND(I9,0)</formula>
    </cfRule>
    <cfRule type="cellIs" priority="32" dxfId="1" operator="lessThan" stopIfTrue="1">
      <formula>0</formula>
    </cfRule>
  </conditionalFormatting>
  <conditionalFormatting sqref="J13">
    <cfRule type="cellIs" priority="28" dxfId="2" operator="notEqual" stopIfTrue="1">
      <formula>ROUND(J13,0)</formula>
    </cfRule>
    <cfRule type="cellIs" priority="29" dxfId="1" operator="lessThan" stopIfTrue="1">
      <formula>0</formula>
    </cfRule>
  </conditionalFormatting>
  <conditionalFormatting sqref="I13">
    <cfRule type="cellIs" priority="26" dxfId="2" operator="notEqual" stopIfTrue="1">
      <formula>ROUND(I13,0)</formula>
    </cfRule>
    <cfRule type="cellIs" priority="27" dxfId="1" operator="lessThan" stopIfTrue="1">
      <formula>0</formula>
    </cfRule>
  </conditionalFormatting>
  <conditionalFormatting sqref="I19:I26">
    <cfRule type="cellIs" priority="24" dxfId="2" operator="notEqual" stopIfTrue="1">
      <formula>ROUND(I19,0)</formula>
    </cfRule>
    <cfRule type="cellIs" priority="25" dxfId="1" operator="lessThan" stopIfTrue="1">
      <formula>0</formula>
    </cfRule>
  </conditionalFormatting>
  <conditionalFormatting sqref="I29:I37">
    <cfRule type="cellIs" priority="22" dxfId="2" operator="notEqual" stopIfTrue="1">
      <formula>ROUND(I29,0)</formula>
    </cfRule>
    <cfRule type="cellIs" priority="23" dxfId="1" operator="lessThan" stopIfTrue="1">
      <formula>0</formula>
    </cfRule>
  </conditionalFormatting>
  <conditionalFormatting sqref="I43">
    <cfRule type="cellIs" priority="20" dxfId="2" operator="notEqual" stopIfTrue="1">
      <formula>ROUND(I43,0)</formula>
    </cfRule>
    <cfRule type="cellIs" priority="21" dxfId="1" operator="lessThan" stopIfTrue="1">
      <formula>0</formula>
    </cfRule>
  </conditionalFormatting>
  <conditionalFormatting sqref="I47:I52">
    <cfRule type="cellIs" priority="18" dxfId="2" operator="notEqual" stopIfTrue="1">
      <formula>ROUND(I47,0)</formula>
    </cfRule>
    <cfRule type="cellIs" priority="19" dxfId="1" operator="lessThan" stopIfTrue="1">
      <formula>0</formula>
    </cfRule>
  </conditionalFormatting>
  <conditionalFormatting sqref="I55:I60">
    <cfRule type="cellIs" priority="16" dxfId="2" operator="notEqual" stopIfTrue="1">
      <formula>ROUND(I55,0)</formula>
    </cfRule>
    <cfRule type="cellIs" priority="17" dxfId="1" operator="lessThan" stopIfTrue="1">
      <formula>0</formula>
    </cfRule>
  </conditionalFormatting>
  <conditionalFormatting sqref="I64:I72">
    <cfRule type="cellIs" priority="14" dxfId="2" operator="notEqual" stopIfTrue="1">
      <formula>ROUND(I64,0)</formula>
    </cfRule>
    <cfRule type="cellIs" priority="15" dxfId="1" operator="lessThan" stopIfTrue="1">
      <formula>0</formula>
    </cfRule>
  </conditionalFormatting>
  <conditionalFormatting sqref="I77">
    <cfRule type="cellIs" priority="12" dxfId="2" operator="notEqual" stopIfTrue="1">
      <formula>ROUND(I77,0)</formula>
    </cfRule>
    <cfRule type="cellIs" priority="13" dxfId="1" operator="lessThan" stopIfTrue="1">
      <formula>0</formula>
    </cfRule>
  </conditionalFormatting>
  <conditionalFormatting sqref="I80:I85">
    <cfRule type="cellIs" priority="11" dxfId="2" operator="notEqual" stopIfTrue="1">
      <formula>ROUND(I80,0)</formula>
    </cfRule>
  </conditionalFormatting>
  <conditionalFormatting sqref="I91">
    <cfRule type="cellIs" priority="9" dxfId="2" operator="notEqual" stopIfTrue="1">
      <formula>ROUND(I91,0)</formula>
    </cfRule>
    <cfRule type="cellIs" priority="10" dxfId="1" operator="lessThan" stopIfTrue="1">
      <formula>0</formula>
    </cfRule>
  </conditionalFormatting>
  <conditionalFormatting sqref="I95">
    <cfRule type="cellIs" priority="7" dxfId="2" operator="notEqual" stopIfTrue="1">
      <formula>ROUND(I95,0)</formula>
    </cfRule>
    <cfRule type="cellIs" priority="8" dxfId="1" operator="lessThan" stopIfTrue="1">
      <formula>0</formula>
    </cfRule>
  </conditionalFormatting>
  <conditionalFormatting sqref="I100">
    <cfRule type="cellIs" priority="5" dxfId="2" operator="notEqual" stopIfTrue="1">
      <formula>ROUND(I100,0)</formula>
    </cfRule>
    <cfRule type="cellIs" priority="6" dxfId="1" operator="lessThan" stopIfTrue="1">
      <formula>0</formula>
    </cfRule>
  </conditionalFormatting>
  <conditionalFormatting sqref="I115">
    <cfRule type="cellIs" priority="3" dxfId="2" operator="notEqual" stopIfTrue="1">
      <formula>ROUND(I115,0)</formula>
    </cfRule>
    <cfRule type="cellIs" priority="4" dxfId="1" operator="lessThan" stopIfTrue="1">
      <formula>0</formula>
    </cfRule>
  </conditionalFormatting>
  <conditionalFormatting sqref="I122:I131">
    <cfRule type="cellIs" priority="1" dxfId="2" operator="notEqual" stopIfTrue="1">
      <formula>ROUND(I122,0)</formula>
    </cfRule>
    <cfRule type="cellIs" priority="2"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80" activePane="bottomLeft" state="frozen"/>
      <selection pane="topLeft" activeCell="A1" sqref="A1"/>
      <selection pane="bottomLeft" activeCell="J9" sqref="J9"/>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01.01.2018. do 31.12.2018.</v>
      </c>
      <c r="B3" s="415"/>
      <c r="C3" s="415"/>
      <c r="D3" s="415"/>
      <c r="E3" s="415"/>
      <c r="F3" s="415"/>
      <c r="G3" s="415"/>
      <c r="H3" s="415"/>
      <c r="I3" s="416"/>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81224333034; Bc Institut za oplemenjivanje i proizvodnju bilja, dioničko društvo</v>
      </c>
      <c r="B5" s="411"/>
      <c r="C5" s="411"/>
      <c r="D5" s="411"/>
      <c r="E5" s="411"/>
      <c r="F5" s="411"/>
      <c r="G5" s="411"/>
      <c r="H5" s="411"/>
      <c r="I5" s="411"/>
      <c r="J5" s="412"/>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79875692</v>
      </c>
      <c r="J8" s="84">
        <f>SUM(J9:J13)</f>
        <v>79073828</v>
      </c>
      <c r="Q8" s="2">
        <f>IF(OR(MIN(I70:J75)&lt;&gt;0,MAX(I70:J75)&lt;&gt;0),1,0)</f>
        <v>0</v>
      </c>
      <c r="R8" s="73" t="s">
        <v>2597</v>
      </c>
    </row>
    <row r="9" spans="1:10" s="2" customFormat="1" ht="13.5" customHeight="1">
      <c r="A9" s="383" t="s">
        <v>1434</v>
      </c>
      <c r="B9" s="383"/>
      <c r="C9" s="383"/>
      <c r="D9" s="383"/>
      <c r="E9" s="383"/>
      <c r="F9" s="383"/>
      <c r="G9" s="19">
        <v>126</v>
      </c>
      <c r="H9" s="20"/>
      <c r="I9" s="71">
        <v>2941479</v>
      </c>
      <c r="J9" s="71">
        <v>5677792</v>
      </c>
    </row>
    <row r="10" spans="1:10" s="2" customFormat="1" ht="13.5" customHeight="1">
      <c r="A10" s="383" t="s">
        <v>730</v>
      </c>
      <c r="B10" s="383"/>
      <c r="C10" s="383"/>
      <c r="D10" s="383"/>
      <c r="E10" s="383"/>
      <c r="F10" s="383"/>
      <c r="G10" s="19">
        <v>127</v>
      </c>
      <c r="H10" s="20"/>
      <c r="I10" s="71">
        <v>71643048</v>
      </c>
      <c r="J10" s="71">
        <v>68711291</v>
      </c>
    </row>
    <row r="11" spans="1:10" s="2" customFormat="1" ht="13.5" customHeight="1">
      <c r="A11" s="383" t="s">
        <v>1435</v>
      </c>
      <c r="B11" s="383"/>
      <c r="C11" s="383"/>
      <c r="D11" s="383"/>
      <c r="E11" s="383"/>
      <c r="F11" s="383"/>
      <c r="G11" s="19">
        <v>128</v>
      </c>
      <c r="H11" s="20"/>
      <c r="I11" s="71">
        <v>2639216</v>
      </c>
      <c r="J11" s="71">
        <v>2434340</v>
      </c>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c r="I13" s="71">
        <v>2651949</v>
      </c>
      <c r="J13" s="71">
        <v>2250405</v>
      </c>
    </row>
    <row r="14" spans="1:10" s="2" customFormat="1" ht="13.5" customHeight="1">
      <c r="A14" s="381" t="s">
        <v>1837</v>
      </c>
      <c r="B14" s="381"/>
      <c r="C14" s="381"/>
      <c r="D14" s="381"/>
      <c r="E14" s="381"/>
      <c r="F14" s="381"/>
      <c r="G14" s="19">
        <v>131</v>
      </c>
      <c r="H14" s="20"/>
      <c r="I14" s="70">
        <f>I15+I16+I20+I24+I25+I26+I29+I36</f>
        <v>82670716</v>
      </c>
      <c r="J14" s="70">
        <f>J15+J16+J20+J24+J25+J26+J29+J36</f>
        <v>81177868</v>
      </c>
    </row>
    <row r="15" spans="1:12" s="2" customFormat="1" ht="13.5" customHeight="1">
      <c r="A15" s="383" t="s">
        <v>258</v>
      </c>
      <c r="B15" s="383"/>
      <c r="C15" s="383"/>
      <c r="D15" s="383"/>
      <c r="E15" s="383"/>
      <c r="F15" s="383"/>
      <c r="G15" s="19">
        <v>132</v>
      </c>
      <c r="H15" s="20"/>
      <c r="I15" s="71">
        <v>2319589</v>
      </c>
      <c r="J15" s="71">
        <v>-5058329</v>
      </c>
      <c r="L15" s="2" t="s">
        <v>2591</v>
      </c>
    </row>
    <row r="16" spans="1:10" s="2" customFormat="1" ht="13.5" customHeight="1">
      <c r="A16" s="383" t="s">
        <v>1838</v>
      </c>
      <c r="B16" s="383"/>
      <c r="C16" s="383"/>
      <c r="D16" s="383"/>
      <c r="E16" s="383"/>
      <c r="F16" s="383"/>
      <c r="G16" s="19">
        <v>133</v>
      </c>
      <c r="H16" s="20"/>
      <c r="I16" s="70">
        <f>SUM(I17:I19)</f>
        <v>57043756</v>
      </c>
      <c r="J16" s="70">
        <f>SUM(J17:J19)</f>
        <v>62123809</v>
      </c>
    </row>
    <row r="17" spans="1:10" s="2" customFormat="1" ht="13.5" customHeight="1">
      <c r="A17" s="409" t="s">
        <v>504</v>
      </c>
      <c r="B17" s="409"/>
      <c r="C17" s="409"/>
      <c r="D17" s="409"/>
      <c r="E17" s="409"/>
      <c r="F17" s="409"/>
      <c r="G17" s="19">
        <v>134</v>
      </c>
      <c r="H17" s="20"/>
      <c r="I17" s="71">
        <v>11676147</v>
      </c>
      <c r="J17" s="71">
        <v>13162545</v>
      </c>
    </row>
    <row r="18" spans="1:10" s="2" customFormat="1" ht="13.5" customHeight="1">
      <c r="A18" s="409" t="s">
        <v>505</v>
      </c>
      <c r="B18" s="409"/>
      <c r="C18" s="409"/>
      <c r="D18" s="409"/>
      <c r="E18" s="409"/>
      <c r="F18" s="409"/>
      <c r="G18" s="19">
        <v>135</v>
      </c>
      <c r="H18" s="20"/>
      <c r="I18" s="71">
        <v>3778040</v>
      </c>
      <c r="J18" s="71">
        <v>1293344</v>
      </c>
    </row>
    <row r="19" spans="1:10" s="2" customFormat="1" ht="13.5" customHeight="1">
      <c r="A19" s="409" t="s">
        <v>1426</v>
      </c>
      <c r="B19" s="409"/>
      <c r="C19" s="409"/>
      <c r="D19" s="409"/>
      <c r="E19" s="409"/>
      <c r="F19" s="409"/>
      <c r="G19" s="19">
        <v>136</v>
      </c>
      <c r="H19" s="20"/>
      <c r="I19" s="71">
        <v>41589569</v>
      </c>
      <c r="J19" s="71">
        <v>47667920</v>
      </c>
    </row>
    <row r="20" spans="1:10" s="2" customFormat="1" ht="13.5" customHeight="1">
      <c r="A20" s="383" t="s">
        <v>1839</v>
      </c>
      <c r="B20" s="383"/>
      <c r="C20" s="383"/>
      <c r="D20" s="383"/>
      <c r="E20" s="383"/>
      <c r="F20" s="383"/>
      <c r="G20" s="19">
        <v>137</v>
      </c>
      <c r="H20" s="20"/>
      <c r="I20" s="70">
        <f>SUM(I21:I23)</f>
        <v>14474479</v>
      </c>
      <c r="J20" s="70">
        <f>SUM(J21:J23)</f>
        <v>13503765</v>
      </c>
    </row>
    <row r="21" spans="1:10" s="2" customFormat="1" ht="13.5" customHeight="1">
      <c r="A21" s="409" t="s">
        <v>724</v>
      </c>
      <c r="B21" s="409"/>
      <c r="C21" s="409"/>
      <c r="D21" s="409"/>
      <c r="E21" s="409"/>
      <c r="F21" s="409"/>
      <c r="G21" s="19">
        <v>138</v>
      </c>
      <c r="H21" s="20"/>
      <c r="I21" s="71">
        <v>8606770</v>
      </c>
      <c r="J21" s="71">
        <v>8145378</v>
      </c>
    </row>
    <row r="22" spans="1:10" s="2" customFormat="1" ht="13.5" customHeight="1">
      <c r="A22" s="409" t="s">
        <v>961</v>
      </c>
      <c r="B22" s="409"/>
      <c r="C22" s="409"/>
      <c r="D22" s="409"/>
      <c r="E22" s="409"/>
      <c r="F22" s="409"/>
      <c r="G22" s="19">
        <v>139</v>
      </c>
      <c r="H22" s="20"/>
      <c r="I22" s="71">
        <v>3992563</v>
      </c>
      <c r="J22" s="71">
        <v>3424877</v>
      </c>
    </row>
    <row r="23" spans="1:10" s="2" customFormat="1" ht="13.5" customHeight="1">
      <c r="A23" s="409" t="s">
        <v>962</v>
      </c>
      <c r="B23" s="409"/>
      <c r="C23" s="409"/>
      <c r="D23" s="409"/>
      <c r="E23" s="409"/>
      <c r="F23" s="409"/>
      <c r="G23" s="19">
        <v>140</v>
      </c>
      <c r="H23" s="20"/>
      <c r="I23" s="71">
        <v>1875146</v>
      </c>
      <c r="J23" s="71">
        <v>1933510</v>
      </c>
    </row>
    <row r="24" spans="1:10" s="2" customFormat="1" ht="13.5" customHeight="1">
      <c r="A24" s="383" t="s">
        <v>259</v>
      </c>
      <c r="B24" s="383"/>
      <c r="C24" s="383"/>
      <c r="D24" s="383"/>
      <c r="E24" s="383"/>
      <c r="F24" s="383"/>
      <c r="G24" s="19">
        <v>141</v>
      </c>
      <c r="H24" s="20"/>
      <c r="I24" s="71">
        <v>4267175</v>
      </c>
      <c r="J24" s="71">
        <v>4254006</v>
      </c>
    </row>
    <row r="25" spans="1:10" s="2" customFormat="1" ht="13.5" customHeight="1">
      <c r="A25" s="383" t="s">
        <v>260</v>
      </c>
      <c r="B25" s="383"/>
      <c r="C25" s="383"/>
      <c r="D25" s="383"/>
      <c r="E25" s="383"/>
      <c r="F25" s="383"/>
      <c r="G25" s="19">
        <v>142</v>
      </c>
      <c r="H25" s="20"/>
      <c r="I25" s="71">
        <v>4391991</v>
      </c>
      <c r="J25" s="71">
        <v>3775093</v>
      </c>
    </row>
    <row r="26" spans="1:12" s="2" customFormat="1" ht="13.5" customHeight="1">
      <c r="A26" s="383" t="s">
        <v>1840</v>
      </c>
      <c r="B26" s="383"/>
      <c r="C26" s="383"/>
      <c r="D26" s="383"/>
      <c r="E26" s="383"/>
      <c r="F26" s="383"/>
      <c r="G26" s="19">
        <v>143</v>
      </c>
      <c r="H26" s="20"/>
      <c r="I26" s="70">
        <f>SUM(I27:I28)</f>
        <v>0</v>
      </c>
      <c r="J26" s="70">
        <f>SUM(J27:J28)</f>
        <v>718888</v>
      </c>
      <c r="L26" s="2" t="s">
        <v>2591</v>
      </c>
    </row>
    <row r="27" spans="1:12" s="2" customFormat="1" ht="13.5" customHeight="1">
      <c r="A27" s="409" t="s">
        <v>506</v>
      </c>
      <c r="B27" s="409"/>
      <c r="C27" s="409"/>
      <c r="D27" s="409"/>
      <c r="E27" s="409"/>
      <c r="F27" s="409"/>
      <c r="G27" s="19">
        <v>144</v>
      </c>
      <c r="H27" s="20"/>
      <c r="I27" s="71"/>
      <c r="J27" s="71"/>
      <c r="L27" s="2" t="s">
        <v>2591</v>
      </c>
    </row>
    <row r="28" spans="1:12" s="2" customFormat="1" ht="13.5" customHeight="1">
      <c r="A28" s="409" t="s">
        <v>507</v>
      </c>
      <c r="B28" s="409"/>
      <c r="C28" s="409"/>
      <c r="D28" s="409"/>
      <c r="E28" s="409"/>
      <c r="F28" s="409"/>
      <c r="G28" s="19">
        <v>145</v>
      </c>
      <c r="H28" s="20"/>
      <c r="I28" s="71"/>
      <c r="J28" s="71">
        <v>718888</v>
      </c>
      <c r="L28" s="2" t="s">
        <v>2591</v>
      </c>
    </row>
    <row r="29" spans="1:12" s="2" customFormat="1" ht="13.5" customHeight="1">
      <c r="A29" s="383" t="s">
        <v>1841</v>
      </c>
      <c r="B29" s="383"/>
      <c r="C29" s="383"/>
      <c r="D29" s="383"/>
      <c r="E29" s="383"/>
      <c r="F29" s="383"/>
      <c r="G29" s="19">
        <v>146</v>
      </c>
      <c r="H29" s="20"/>
      <c r="I29" s="70">
        <f>SUM(I30:I35)</f>
        <v>0</v>
      </c>
      <c r="J29" s="70">
        <f>SUM(J30:J35)</f>
        <v>0</v>
      </c>
      <c r="L29" s="2" t="s">
        <v>2591</v>
      </c>
    </row>
    <row r="30" spans="1:12" s="2" customFormat="1" ht="13.5" customHeight="1">
      <c r="A30" s="409" t="s">
        <v>508</v>
      </c>
      <c r="B30" s="409"/>
      <c r="C30" s="409"/>
      <c r="D30" s="409"/>
      <c r="E30" s="409"/>
      <c r="F30" s="409"/>
      <c r="G30" s="19">
        <v>147</v>
      </c>
      <c r="H30" s="20"/>
      <c r="I30" s="71"/>
      <c r="J30" s="71"/>
      <c r="L30" s="2" t="s">
        <v>2591</v>
      </c>
    </row>
    <row r="31" spans="1:12" s="2" customFormat="1" ht="13.5" customHeight="1">
      <c r="A31" s="409" t="s">
        <v>509</v>
      </c>
      <c r="B31" s="409"/>
      <c r="C31" s="409"/>
      <c r="D31" s="409"/>
      <c r="E31" s="409"/>
      <c r="F31" s="409"/>
      <c r="G31" s="19">
        <v>148</v>
      </c>
      <c r="H31" s="20"/>
      <c r="I31" s="71"/>
      <c r="J31" s="71"/>
      <c r="L31" s="2" t="s">
        <v>2591</v>
      </c>
    </row>
    <row r="32" spans="1:12" s="2" customFormat="1" ht="13.5" customHeight="1">
      <c r="A32" s="409" t="s">
        <v>510</v>
      </c>
      <c r="B32" s="409"/>
      <c r="C32" s="409"/>
      <c r="D32" s="409"/>
      <c r="E32" s="409"/>
      <c r="F32" s="409"/>
      <c r="G32" s="19">
        <v>149</v>
      </c>
      <c r="H32" s="20"/>
      <c r="I32" s="71"/>
      <c r="J32" s="71"/>
      <c r="L32" s="2" t="s">
        <v>2591</v>
      </c>
    </row>
    <row r="33" spans="1:12" s="2" customFormat="1" ht="13.5" customHeight="1">
      <c r="A33" s="409" t="s">
        <v>511</v>
      </c>
      <c r="B33" s="409"/>
      <c r="C33" s="409"/>
      <c r="D33" s="409"/>
      <c r="E33" s="409"/>
      <c r="F33" s="409"/>
      <c r="G33" s="19">
        <v>150</v>
      </c>
      <c r="H33" s="20"/>
      <c r="I33" s="71"/>
      <c r="J33" s="71"/>
      <c r="L33" s="2" t="s">
        <v>2591</v>
      </c>
    </row>
    <row r="34" spans="1:12" s="2" customFormat="1" ht="13.5" customHeight="1">
      <c r="A34" s="409" t="s">
        <v>512</v>
      </c>
      <c r="B34" s="409"/>
      <c r="C34" s="409"/>
      <c r="D34" s="409"/>
      <c r="E34" s="409"/>
      <c r="F34" s="409"/>
      <c r="G34" s="19">
        <v>151</v>
      </c>
      <c r="H34" s="20"/>
      <c r="I34" s="71"/>
      <c r="J34" s="71"/>
      <c r="L34" s="2" t="s">
        <v>2591</v>
      </c>
    </row>
    <row r="35" spans="1:12" s="2" customFormat="1" ht="13.5" customHeight="1">
      <c r="A35" s="409" t="s">
        <v>513</v>
      </c>
      <c r="B35" s="409"/>
      <c r="C35" s="409"/>
      <c r="D35" s="409"/>
      <c r="E35" s="409"/>
      <c r="F35" s="409"/>
      <c r="G35" s="19">
        <v>152</v>
      </c>
      <c r="H35" s="20"/>
      <c r="I35" s="71"/>
      <c r="J35" s="71"/>
      <c r="L35" s="2" t="s">
        <v>2591</v>
      </c>
    </row>
    <row r="36" spans="1:10" s="2" customFormat="1" ht="13.5" customHeight="1">
      <c r="A36" s="383" t="s">
        <v>1692</v>
      </c>
      <c r="B36" s="383"/>
      <c r="C36" s="383"/>
      <c r="D36" s="383"/>
      <c r="E36" s="383"/>
      <c r="F36" s="383"/>
      <c r="G36" s="19">
        <v>153</v>
      </c>
      <c r="H36" s="20"/>
      <c r="I36" s="71">
        <v>173726</v>
      </c>
      <c r="J36" s="71">
        <v>1860636</v>
      </c>
    </row>
    <row r="37" spans="1:10" s="2" customFormat="1" ht="13.5" customHeight="1">
      <c r="A37" s="381" t="s">
        <v>1842</v>
      </c>
      <c r="B37" s="381"/>
      <c r="C37" s="381"/>
      <c r="D37" s="381"/>
      <c r="E37" s="381"/>
      <c r="F37" s="381"/>
      <c r="G37" s="19">
        <v>154</v>
      </c>
      <c r="H37" s="20"/>
      <c r="I37" s="70">
        <f>SUM(I38:I47)</f>
        <v>362526</v>
      </c>
      <c r="J37" s="70">
        <f>SUM(J38:J47)</f>
        <v>347348</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v>188789</v>
      </c>
      <c r="J41" s="71">
        <v>188336</v>
      </c>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v>9132</v>
      </c>
      <c r="J44" s="71">
        <v>36170</v>
      </c>
    </row>
    <row r="45" spans="1:10" s="2" customFormat="1" ht="13.5" customHeight="1">
      <c r="A45" s="383" t="s">
        <v>1428</v>
      </c>
      <c r="B45" s="383"/>
      <c r="C45" s="383"/>
      <c r="D45" s="383"/>
      <c r="E45" s="383"/>
      <c r="F45" s="383"/>
      <c r="G45" s="19">
        <v>162</v>
      </c>
      <c r="H45" s="20"/>
      <c r="I45" s="71">
        <v>164605</v>
      </c>
      <c r="J45" s="71">
        <v>122842</v>
      </c>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c r="J47" s="71"/>
    </row>
    <row r="48" spans="1:10" s="2" customFormat="1" ht="13.5" customHeight="1">
      <c r="A48" s="381" t="s">
        <v>1843</v>
      </c>
      <c r="B48" s="381"/>
      <c r="C48" s="381"/>
      <c r="D48" s="381"/>
      <c r="E48" s="381"/>
      <c r="F48" s="381"/>
      <c r="G48" s="19">
        <v>165</v>
      </c>
      <c r="H48" s="20"/>
      <c r="I48" s="70">
        <f>SUM(I49:I55)</f>
        <v>1448552</v>
      </c>
      <c r="J48" s="70">
        <f>SUM(J49:J55)</f>
        <v>653855</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v>832662</v>
      </c>
      <c r="J51" s="71">
        <v>170469</v>
      </c>
    </row>
    <row r="52" spans="1:10" s="2" customFormat="1" ht="13.5" customHeight="1">
      <c r="A52" s="403" t="s">
        <v>1439</v>
      </c>
      <c r="B52" s="403"/>
      <c r="C52" s="403"/>
      <c r="D52" s="403"/>
      <c r="E52" s="403"/>
      <c r="F52" s="403"/>
      <c r="G52" s="19">
        <v>169</v>
      </c>
      <c r="H52" s="20"/>
      <c r="I52" s="71">
        <v>615890</v>
      </c>
      <c r="J52" s="71">
        <v>483386</v>
      </c>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80238218</v>
      </c>
      <c r="J60" s="70">
        <f>J8+J37+J56+J57</f>
        <v>79421176</v>
      </c>
    </row>
    <row r="61" spans="1:10" s="2" customFormat="1" ht="13.5" customHeight="1">
      <c r="A61" s="381" t="s">
        <v>1845</v>
      </c>
      <c r="B61" s="381"/>
      <c r="C61" s="381"/>
      <c r="D61" s="381"/>
      <c r="E61" s="381"/>
      <c r="F61" s="381"/>
      <c r="G61" s="19">
        <v>178</v>
      </c>
      <c r="H61" s="20"/>
      <c r="I61" s="70">
        <f>I14+I48+I58+I59</f>
        <v>84119268</v>
      </c>
      <c r="J61" s="70">
        <f>J14+J48+J58+J59</f>
        <v>81831723</v>
      </c>
    </row>
    <row r="62" spans="1:12" s="2" customFormat="1" ht="13.5" customHeight="1">
      <c r="A62" s="381" t="s">
        <v>2581</v>
      </c>
      <c r="B62" s="381"/>
      <c r="C62" s="381"/>
      <c r="D62" s="381"/>
      <c r="E62" s="381"/>
      <c r="F62" s="381"/>
      <c r="G62" s="19">
        <v>179</v>
      </c>
      <c r="H62" s="20"/>
      <c r="I62" s="70">
        <f>I60-I61</f>
        <v>-3881050</v>
      </c>
      <c r="J62" s="70">
        <f>J60-J61</f>
        <v>-2410547</v>
      </c>
      <c r="L62" s="2" t="s">
        <v>2591</v>
      </c>
    </row>
    <row r="63" spans="1:10" s="2" customFormat="1" ht="13.5" customHeight="1">
      <c r="A63" s="403" t="s">
        <v>2658</v>
      </c>
      <c r="B63" s="403"/>
      <c r="C63" s="403"/>
      <c r="D63" s="403"/>
      <c r="E63" s="403"/>
      <c r="F63" s="403"/>
      <c r="G63" s="19">
        <v>180</v>
      </c>
      <c r="H63" s="20"/>
      <c r="I63" s="70">
        <f>IF(I60&gt;I61,I60-I61,0)</f>
        <v>0</v>
      </c>
      <c r="J63" s="70">
        <f>IF(J60&gt;J61,J60-J61,0)</f>
        <v>0</v>
      </c>
    </row>
    <row r="64" spans="1:10" s="2" customFormat="1" ht="13.5" customHeight="1">
      <c r="A64" s="403" t="s">
        <v>778</v>
      </c>
      <c r="B64" s="403"/>
      <c r="C64" s="403"/>
      <c r="D64" s="403"/>
      <c r="E64" s="403"/>
      <c r="F64" s="403"/>
      <c r="G64" s="19">
        <v>181</v>
      </c>
      <c r="H64" s="20"/>
      <c r="I64" s="70">
        <f>IF(I61&gt;I60,I61-I60,0)</f>
        <v>3881050</v>
      </c>
      <c r="J64" s="70">
        <f>IF(J61&gt;J60,J61-J60,0)</f>
        <v>2410547</v>
      </c>
    </row>
    <row r="65" spans="1:12" s="2" customFormat="1" ht="13.5" customHeight="1">
      <c r="A65" s="381" t="s">
        <v>2620</v>
      </c>
      <c r="B65" s="381"/>
      <c r="C65" s="381"/>
      <c r="D65" s="381"/>
      <c r="E65" s="381"/>
      <c r="F65" s="381"/>
      <c r="G65" s="19">
        <v>182</v>
      </c>
      <c r="H65" s="20"/>
      <c r="I65" s="71">
        <v>-437700</v>
      </c>
      <c r="J65" s="71">
        <v>-293359</v>
      </c>
      <c r="L65" s="2" t="s">
        <v>2591</v>
      </c>
    </row>
    <row r="66" spans="1:12" s="2" customFormat="1" ht="13.5" customHeight="1">
      <c r="A66" s="381" t="s">
        <v>2582</v>
      </c>
      <c r="B66" s="381"/>
      <c r="C66" s="381"/>
      <c r="D66" s="381"/>
      <c r="E66" s="381"/>
      <c r="F66" s="381"/>
      <c r="G66" s="19">
        <v>183</v>
      </c>
      <c r="H66" s="20"/>
      <c r="I66" s="70">
        <f>I62-I65</f>
        <v>-3443350</v>
      </c>
      <c r="J66" s="70">
        <f>J62-J65</f>
        <v>-2117188</v>
      </c>
      <c r="L66" s="2" t="s">
        <v>2591</v>
      </c>
    </row>
    <row r="67" spans="1:10" s="2" customFormat="1" ht="13.5" customHeight="1">
      <c r="A67" s="403" t="s">
        <v>779</v>
      </c>
      <c r="B67" s="403"/>
      <c r="C67" s="403"/>
      <c r="D67" s="403"/>
      <c r="E67" s="403"/>
      <c r="F67" s="403"/>
      <c r="G67" s="19">
        <v>184</v>
      </c>
      <c r="H67" s="20"/>
      <c r="I67" s="70">
        <f>IF(I66&gt;0,I66,0)</f>
        <v>0</v>
      </c>
      <c r="J67" s="70">
        <f>IF(J66&gt;0,J66,0)</f>
        <v>0</v>
      </c>
    </row>
    <row r="68" spans="1:10" s="2" customFormat="1" ht="13.5" customHeight="1">
      <c r="A68" s="404" t="s">
        <v>1472</v>
      </c>
      <c r="B68" s="404"/>
      <c r="C68" s="404"/>
      <c r="D68" s="404"/>
      <c r="E68" s="404"/>
      <c r="F68" s="404"/>
      <c r="G68" s="21">
        <v>185</v>
      </c>
      <c r="H68" s="22"/>
      <c r="I68" s="85">
        <f>IF(I66&lt;0,-I66,0)</f>
        <v>3443350</v>
      </c>
      <c r="J68" s="85">
        <f>IF(J66&lt;0,-J66,0)</f>
        <v>2117188</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J15 I26:J35 J54 I62:J62 I66:J66 I70:J70 I73:J73 I77:J77 I89:J101 I85:J87 I80:J81 J65">
    <cfRule type="cellIs" priority="16" dxfId="2" operator="notEqual" stopIfTrue="1">
      <formula>ROUND(I15,0)</formula>
    </cfRule>
  </conditionalFormatting>
  <conditionalFormatting sqref="I78:J79 I67:J68 I74:J75 I82:J83 I8:J8 I16:J16 I37:J40 I57:J61 I63:J64 I71:J72 I14:J14 J9:J13 I20:J20 J17:J19 J21:J25 J36 I47:J50 J41:J46 J51:J53 J55:J56">
    <cfRule type="cellIs" priority="17" dxfId="2" operator="notEqual" stopIfTrue="1">
      <formula>ROUND(I8,0)</formula>
    </cfRule>
    <cfRule type="cellIs" priority="18" dxfId="1" operator="lessThan" stopIfTrue="1">
      <formula>0</formula>
    </cfRule>
  </conditionalFormatting>
  <conditionalFormatting sqref="I9:I13">
    <cfRule type="cellIs" priority="14" dxfId="2" operator="notEqual" stopIfTrue="1">
      <formula>ROUND(I9,0)</formula>
    </cfRule>
    <cfRule type="cellIs" priority="15" dxfId="1" operator="lessThan" stopIfTrue="1">
      <formula>0</formula>
    </cfRule>
  </conditionalFormatting>
  <conditionalFormatting sqref="I15">
    <cfRule type="cellIs" priority="13" dxfId="2" operator="notEqual" stopIfTrue="1">
      <formula>ROUND(I15,0)</formula>
    </cfRule>
  </conditionalFormatting>
  <conditionalFormatting sqref="I17:I19">
    <cfRule type="cellIs" priority="11" dxfId="2" operator="notEqual" stopIfTrue="1">
      <formula>ROUND(I17,0)</formula>
    </cfRule>
    <cfRule type="cellIs" priority="12" dxfId="1" operator="lessThan" stopIfTrue="1">
      <formula>0</formula>
    </cfRule>
  </conditionalFormatting>
  <conditionalFormatting sqref="I21:I25">
    <cfRule type="cellIs" priority="9" dxfId="2" operator="notEqual" stopIfTrue="1">
      <formula>ROUND(I21,0)</formula>
    </cfRule>
    <cfRule type="cellIs" priority="10" dxfId="1" operator="lessThan" stopIfTrue="1">
      <formula>0</formula>
    </cfRule>
  </conditionalFormatting>
  <conditionalFormatting sqref="I36">
    <cfRule type="cellIs" priority="7" dxfId="2" operator="notEqual" stopIfTrue="1">
      <formula>ROUND(I36,0)</formula>
    </cfRule>
    <cfRule type="cellIs" priority="8" dxfId="1" operator="lessThan" stopIfTrue="1">
      <formula>0</formula>
    </cfRule>
  </conditionalFormatting>
  <conditionalFormatting sqref="I41:I46">
    <cfRule type="cellIs" priority="5" dxfId="2" operator="notEqual" stopIfTrue="1">
      <formula>ROUND(I41,0)</formula>
    </cfRule>
    <cfRule type="cellIs" priority="6" dxfId="1" operator="lessThan" stopIfTrue="1">
      <formula>0</formula>
    </cfRule>
  </conditionalFormatting>
  <conditionalFormatting sqref="I55">
    <cfRule type="cellIs" priority="2" dxfId="2" operator="notEqual" stopIfTrue="1">
      <formula>ROUND(I55,0)</formula>
    </cfRule>
  </conditionalFormatting>
  <conditionalFormatting sqref="I56 I51:I54">
    <cfRule type="cellIs" priority="3" dxfId="2" operator="notEqual" stopIfTrue="1">
      <formula>ROUND(I51,0)</formula>
    </cfRule>
    <cfRule type="cellIs" priority="4" dxfId="1" operator="lessThan" stopIfTrue="1">
      <formula>0</formula>
    </cfRule>
  </conditionalFormatting>
  <conditionalFormatting sqref="I65">
    <cfRule type="cellIs" priority="1" dxfId="2" operator="notEqual" stopIfTrue="1">
      <formula>ROUND(I65,0)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5" activePane="bottomLeft" state="frozen"/>
      <selection pane="topLeft" activeCell="A1" sqref="A1"/>
      <selection pane="bottomLeft" activeCell="A24" sqref="A24:J24"/>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32" t="s">
        <v>568</v>
      </c>
      <c r="B2" s="433"/>
      <c r="C2" s="433"/>
      <c r="D2" s="433"/>
      <c r="E2" s="433"/>
      <c r="F2" s="433"/>
      <c r="G2" s="433"/>
      <c r="H2" s="433"/>
      <c r="I2" s="434"/>
      <c r="J2" s="388" t="s">
        <v>2593</v>
      </c>
      <c r="Q2" s="74">
        <f>IF(MAX(I9:I88)&gt;0,1,0)</f>
        <v>1</v>
      </c>
      <c r="R2" s="73" t="s">
        <v>2586</v>
      </c>
    </row>
    <row r="3" spans="1:18" s="2" customFormat="1" ht="19.5" customHeight="1" thickBot="1">
      <c r="A3" s="435" t="str">
        <f>"za razdoblje "&amp;IF(RefStr!C4&lt;&gt;"",TEXT(RefStr!C4,"DD.MM.YYYY."),"__.__.____.")&amp;" do "&amp;IF(RefStr!F4&lt;&gt;"",TEXT(RefStr!F4,"DD.MM.YYYY."),"__.__.____.")</f>
        <v>za razdoblje 01.01.2018. do 31.12.2018.</v>
      </c>
      <c r="B3" s="436"/>
      <c r="C3" s="436"/>
      <c r="D3" s="436"/>
      <c r="E3" s="436"/>
      <c r="F3" s="436"/>
      <c r="G3" s="436"/>
      <c r="H3" s="436"/>
      <c r="I3" s="437"/>
      <c r="J3" s="422"/>
      <c r="Q3" s="74">
        <f>IF(MAX(J9:J88)&gt;0,1,0)</f>
        <v>1</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81224333034; Bc Institut za oplemenjivanje i proizvodnju bilja, dioničko društvo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71">
        <v>2941479</v>
      </c>
      <c r="J23" s="71">
        <v>5677792</v>
      </c>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c r="J25" s="94"/>
    </row>
    <row r="26" spans="1:10" s="2" customFormat="1" ht="24.75" customHeight="1">
      <c r="A26" s="403" t="s">
        <v>2215</v>
      </c>
      <c r="B26" s="403"/>
      <c r="C26" s="403"/>
      <c r="D26" s="403"/>
      <c r="E26" s="403"/>
      <c r="F26" s="403"/>
      <c r="G26" s="443"/>
      <c r="H26" s="19">
        <v>232</v>
      </c>
      <c r="I26" s="77"/>
      <c r="J26" s="77"/>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v>79875692</v>
      </c>
      <c r="J35" s="78">
        <v>79103981</v>
      </c>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v>74584527</v>
      </c>
      <c r="J37" s="94">
        <v>74389083</v>
      </c>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c r="J50" s="77"/>
    </row>
    <row r="51" spans="1:10" s="2" customFormat="1" ht="24.75" customHeight="1">
      <c r="A51" s="403" t="s">
        <v>2219</v>
      </c>
      <c r="B51" s="403"/>
      <c r="C51" s="403"/>
      <c r="D51" s="403"/>
      <c r="E51" s="403"/>
      <c r="F51" s="403"/>
      <c r="G51" s="443"/>
      <c r="H51" s="19">
        <v>253</v>
      </c>
      <c r="I51" s="77"/>
      <c r="J51" s="77"/>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c r="J55" s="77"/>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c r="J57" s="77"/>
    </row>
    <row r="58" spans="1:10" s="2" customFormat="1" ht="13.5" customHeight="1">
      <c r="A58" s="403" t="s">
        <v>2436</v>
      </c>
      <c r="B58" s="403"/>
      <c r="C58" s="403"/>
      <c r="D58" s="403"/>
      <c r="E58" s="403"/>
      <c r="F58" s="403"/>
      <c r="G58" s="443"/>
      <c r="H58" s="19">
        <v>260</v>
      </c>
      <c r="I58" s="77"/>
      <c r="J58" s="77"/>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c r="J60" s="77"/>
    </row>
    <row r="61" spans="1:10" s="2" customFormat="1" ht="13.5" customHeight="1">
      <c r="A61" s="444" t="s">
        <v>2445</v>
      </c>
      <c r="B61" s="444"/>
      <c r="C61" s="444"/>
      <c r="D61" s="444"/>
      <c r="E61" s="444"/>
      <c r="F61" s="444"/>
      <c r="G61" s="445"/>
      <c r="H61" s="19">
        <v>263</v>
      </c>
      <c r="I61" s="77"/>
      <c r="J61" s="77"/>
    </row>
    <row r="62" spans="1:10" s="2" customFormat="1" ht="13.5" customHeight="1">
      <c r="A62" s="403" t="s">
        <v>2439</v>
      </c>
      <c r="B62" s="403"/>
      <c r="C62" s="403"/>
      <c r="D62" s="403"/>
      <c r="E62" s="403"/>
      <c r="F62" s="403"/>
      <c r="G62" s="443"/>
      <c r="H62" s="19">
        <v>264</v>
      </c>
      <c r="I62" s="77"/>
      <c r="J62" s="77"/>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c r="J64" s="77"/>
    </row>
    <row r="65" spans="1:10" s="2" customFormat="1" ht="13.5" customHeight="1">
      <c r="A65" s="403" t="s">
        <v>2442</v>
      </c>
      <c r="B65" s="403"/>
      <c r="C65" s="403"/>
      <c r="D65" s="403"/>
      <c r="E65" s="403"/>
      <c r="F65" s="403"/>
      <c r="G65" s="443"/>
      <c r="H65" s="19">
        <v>267</v>
      </c>
      <c r="I65" s="77"/>
      <c r="J65" s="77"/>
    </row>
    <row r="66" spans="1:10" s="2" customFormat="1" ht="13.5" customHeight="1">
      <c r="A66" s="444" t="s">
        <v>2903</v>
      </c>
      <c r="B66" s="444"/>
      <c r="C66" s="444"/>
      <c r="D66" s="444"/>
      <c r="E66" s="444"/>
      <c r="F66" s="444"/>
      <c r="G66" s="445"/>
      <c r="H66" s="19">
        <v>268</v>
      </c>
      <c r="I66" s="77"/>
      <c r="J66" s="77"/>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c r="J73" s="94"/>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c r="J76" s="78"/>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0</v>
      </c>
      <c r="J78" s="228">
        <f>SUM(J79:J82)</f>
        <v>0</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c r="J80" s="77"/>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5:J35 I37:J38 I40:J40 I42:J47 I78:J86 I73:J76 I88:J88 I49:J67 I71:J71">
    <cfRule type="cellIs" priority="5" dxfId="2" operator="notEqual" stopIfTrue="1">
      <formula>ROUND(I9,0)</formula>
    </cfRule>
    <cfRule type="cellIs" priority="6" dxfId="1" operator="lessThan" stopIfTrue="1">
      <formula>0</formula>
    </cfRule>
  </conditionalFormatting>
  <conditionalFormatting sqref="I68:J70">
    <cfRule type="cellIs" priority="7" dxfId="2" operator="notEqual" stopIfTrue="1">
      <formula>ROUND(I68,0)</formula>
    </cfRule>
  </conditionalFormatting>
  <conditionalFormatting sqref="I23">
    <cfRule type="cellIs" priority="3" dxfId="2" operator="notEqual" stopIfTrue="1">
      <formula>ROUND(I23,0)</formula>
    </cfRule>
    <cfRule type="cellIs" priority="4" dxfId="1" operator="lessThan" stopIfTrue="1">
      <formula>0</formula>
    </cfRule>
  </conditionalFormatting>
  <conditionalFormatting sqref="J23">
    <cfRule type="cellIs" priority="1" dxfId="2" operator="notEqual" stopIfTrue="1">
      <formula>ROUND(J23,0)</formula>
    </cfRule>
    <cfRule type="cellIs" priority="2" dxfId="1" operator="lessThan" stopIfTrue="1">
      <formula>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01.01.2018. do 31.12.2018.</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81224333034; Bc Institut za oplemenjivanje i proizvodnju bilja, dioničko društvo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01.01.2018. do 31.12.2018.</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81224333034; Bc Institut za oplemenjivanje i proizvodnju bilja, dioničko društvo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01.01.2018. do 31.12.2018.</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81224333034; Bc Institut za oplemenjivanje i proizvodnju bilja, dioničko društvo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sandra</cp:lastModifiedBy>
  <cp:lastPrinted>2019-04-30T12:19:18Z</cp:lastPrinted>
  <dcterms:created xsi:type="dcterms:W3CDTF">2008-10-17T11:51:54Z</dcterms:created>
  <dcterms:modified xsi:type="dcterms:W3CDTF">2019-04-30T16:12:35Z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