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3\TFI\Q2\Radno Q2\Objava 27.07\Hrvatski\"/>
    </mc:Choice>
  </mc:AlternateContent>
  <xr:revisionPtr revIDLastSave="0" documentId="13_ncr:1_{38D367ED-1072-48E1-86D4-3550C83CA12F}"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9" i="22" l="1"/>
  <c r="V19"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9" i="22" l="1"/>
  <c r="V57" i="22"/>
  <c r="W36" i="22"/>
  <c r="Y36" i="22" s="1"/>
  <c r="H39" i="22"/>
  <c r="H59" i="22" s="1"/>
  <c r="H57" i="20"/>
  <c r="H59" i="20" s="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V59" i="22" l="1"/>
  <c r="U57" i="22"/>
  <c r="V63" i="22"/>
  <c r="I57" i="20"/>
  <c r="I59" i="20" s="1"/>
  <c r="I72" i="18"/>
  <c r="W57" i="22" l="1"/>
  <c r="U63" i="22"/>
  <c r="U59" i="22"/>
  <c r="Y57" i="22" l="1"/>
  <c r="W63" i="22"/>
  <c r="W59" i="22"/>
  <c r="Y63" i="22" l="1"/>
  <c r="Y59" i="22"/>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<sst xmlns="http://schemas.openxmlformats.org/spreadsheetml/2006/main" count="534" uniqueCount="465">
  <si>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</si>
  <si>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</si>
  <si>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</si>
  <si>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</si>
  <si>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</si>
  <si>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</si>
  <si>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</si>
  <si>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</si>
  <si>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</si>
  <si>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</si>
  <si>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</si>
  <si>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</si>
  <si>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</si>
  <si>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</si>
  <si>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</si>
  <si>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</si>
  <si>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</si>
  <si>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</si>
  <si>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</si>
  <si>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</si>
  <si>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</si>
  <si>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</si>
  <si>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</si>
  <si>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</si>
  <si>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</si>
  <si>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</si>
  <si>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</si>
  <si>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</si>
  <si>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</si>
  <si>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</si>
  <si>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</si>
  <si>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</si>
  <si>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</si>
  <si>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</si>
  <si>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</si>
  <si>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</si>
  <si>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</si>
  <si>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</si>
  <si>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</si>
  <si>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</si>
  <si>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</si>
  <si>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</si>
  <si>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</si>
  <si>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</si>
  <si>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</si>
  <si>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</si>
  <si>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</si>
  <si>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</si>
  <si>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</si>
  <si>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</si>
  <si>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</si>
  <si>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</si>
  <si>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</si>
  <si>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</si>
  <si>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</si>
  <si>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</si>
  <si>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</si>
  <si>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</si>
  <si>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</si>
  <si>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</si>
  <si>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</si>
  <si>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</si>
  <si>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</si>
  <si>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</si>
  <si>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</si>
  <si>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</si>
  <si>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</si>
  <si>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</si>
  <si>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</si>
  <si>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</si>
  <si>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</si>
  <si>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</si>
  <si>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</si>
  <si>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</si>
  <si>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</si>
  <si>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</si>
  <si>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</si>
  <si>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</si>
  <si>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</si>
  <si>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</si>
  <si>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</si>
  <si>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</si>
  <si>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</si>
  <si>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</si>
  <si>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</si>
  <si>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</si>
  <si>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</si>
  <si>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</si>
  <si>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</si>
  <si>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</si>
  <si>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</si>
  <si>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</si>
  <si>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</si>
  <si>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</si>
  <si>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</si>
  <si>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</si>
  <si>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</si>
  <si>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</si>
  <si>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</si>
  <si>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</si>
  <si>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</si>
  <si>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</si>
  <si>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</si>
  <si>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</si>
  <si>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</si>
  <si>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</si>
  <si>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</si>
  <si>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</si>
  <si>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</si>
  <si>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</si>
  <si>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</si>
  <si>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</si>
  <si>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</si>
  <si>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</si>
  <si>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</si>
  <si>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</si>
  <si>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</si>
  <si>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</si>
  <si>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</si>
  <si>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</si>
  <si>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</si>
  <si>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</si>
  <si>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</si>
  <si>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</si>
  <si>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</si>
  <si>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</si>
  <si>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</si>
  <si>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</si>
  <si>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</si>
  <si>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</si>
  <si>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</si>
  <si>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</si>
  <si>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</si>
  <si>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</si>
  <si>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</si>
  <si>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</si>
  <si>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</si>
  <si>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</si>
  <si>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</si>
  <si>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</si>
  <si>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</si>
  <si>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</si>
  <si>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</si>
  <si>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</si>
  <si>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</si>
  <si>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</si>
  <si>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</si>
  <si>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</si>
  <si>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</si>
  <si>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</si>
  <si>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</si>
  <si>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</si>
  <si>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</si>
  <si>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</si>
  <si>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</si>
  <si>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</si>
  <si>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</si>
  <si>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</si>
  <si>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</si>
  <si>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</si>
  <si>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</si>
  <si>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</si>
  <si>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</si>
  <si>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</si>
  <si>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</si>
  <si>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</si>
  <si>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</si>
  <si>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</si>
  <si>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</si>
  <si>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</si>
  <si>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</si>
  <si>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</si>
  <si>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</si>
  <si>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</si>
  <si>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</si>
  <si>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</si>
  <si>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</si>
  <si>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</si>
  <si>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</si>
  <si>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</si>
  <si>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</si>
  <si>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</si>
  <si>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</si>
  <si>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</si>
  <si>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</si>
  <si>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</si>
  <si>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</si>
  <si>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</si>
  <si>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</si>
  <si>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</si>
  <si>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</si>
  <si>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</si>
  <si>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</si>
  <si>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</si>
  <si>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</si>
  <si>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</si>
  <si>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</si>
  <si>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</si>
  <si>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</si>
  <si>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</si>
  <si>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</si>
  <si>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</si>
  <si>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</si>
  <si>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</si>
  <si>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</si>
  <si>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</si>
  <si>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</si>
  <si>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</si>
  <si>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</si>
  <si>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</si>
  <si>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</si>
  <si>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</si>
  <si>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</si>
  <si>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</si>
  <si>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</si>
  <si>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</si>
  <si>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</si>
  <si>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</si>
  <si>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</si>
  <si>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</si>
  <si>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</si>
  <si>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</si>
  <si>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</si>
  <si>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</si>
  <si>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</si>
  <si>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</si>
  <si>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</si>
  <si>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</si>
  <si>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</si>
  <si>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</si>
  <si>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</si>
  <si>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</si>
  <si>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</si>
  <si>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</si>
  <si>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</si>
  <si>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</si>
  <si>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</si>
  <si>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</si>
  <si>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</si>
  <si>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</si>
  <si>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</si>
  <si>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</si>
  <si>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</si>
  <si>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</si>
  <si>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</si>
  <si>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</si>
  <si>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</si>
  <si>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</si>
  <si>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</si>
  <si>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</si>
  <si>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</si>
  <si>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</si>
  <si>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</si>
  <si>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</si>
  <si>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</si>
  <si>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</si>
  <si>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</si>
  <si>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</si>
  <si>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</si>
  <si>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</si>
  <si>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</si>
  <si>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</si>
  <si>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</si>
  <si>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</si>
  <si>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</si>
  <si>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</si>
  <si>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</si>
  <si>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</si>
  <si>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</si>
  <si>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</si>
  <si>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</si>
  <si>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</si>
  <si>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</si>
  <si>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</si>
  <si>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</si>
  <si>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</si>
  <si>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</si>
  <si>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</si>
  <si>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</si>
  <si>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</si>
  <si>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</si>
  <si>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</si>
  <si>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</si>
  <si>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</si>
  <si>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</si>
  <si>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</si>
  <si>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</si>
  <si>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</si>
  <si>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</si>
  <si>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</si>
  <si>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</si>
  <si>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</si>
  <si>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</si>
  <si>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</si>
  <si>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</si>
  <si>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</si>
  <si>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</si>
  <si>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</si>
  <si>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</si>
  <si>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</si>
  <si>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</si>
  <si>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</si>
  <si>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</si>
  <si>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</si>
  <si>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</si>
  <si>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</si>
  <si>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</si>
  <si>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</si>
  <si>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</si>
  <si>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</si>
  <si>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</si>
  <si>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</si>
  <si>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</si>
  <si>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</si>
  <si>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</si>
  <si>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</si>
  <si>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</si>
  <si>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</si>
  <si>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</si>
  <si>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</si>
  <si>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</si>
  <si>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</si>
  <si>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</si>
  <si>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</si>
  <si>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</si>
  <si>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</si>
  <si>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</si>
  <si>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</si>
  <si>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</si>
  <si>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</si>
  <si>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</si>
  <si>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</si>
  <si>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</si>
  <si>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</si>
  <si>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</si>
  <si>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</si>
  <si>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</si>
  <si>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</si>
  <si>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</si>
  <si>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</si>
  <si>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</si>
  <si>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</si>
  <si>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</si>
  <si>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</si>
  <si>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</si>
  <si>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</si>
  <si>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</si>
  <si>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</si>
  <si>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</si>
  <si>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</si>
  <si>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</si>
  <si>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</si>
  <si>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</si>
  <si>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</si>
  <si>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</si>
  <si>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</si>
  <si>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</si>
  <si>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</si>
  <si>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</si>
  <si>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</si>
  <si>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</si>
  <si>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</si>
  <si>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</si>
  <si>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</si>
  <si>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</si>
  <si>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</si>
  <si>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</si>
  <si>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</si>
  <si>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</si>
  <si>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</si>
  <si>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</si>
  <si>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</si>
  <si>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</si>
  <si>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</si>
  <si>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</si>
  <si>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</si>
  <si>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</si>
  <si>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</si>
  <si>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</si>
  <si>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</si>
  <si>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</si>
  <si>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</si>
  <si>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</si>
  <si>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</si>
  <si>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</si>
  <si>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</si>
  <si>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</si>
  <si>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</si>
  <si>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</si>
  <si>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</si>
  <si>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</si>
  <si>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</si>
  <si>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</si>
  <si>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</si>
  <si>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</si>
  <si>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</si>
  <si>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</si>
  <si>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</si>
  <si>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</si>
  <si>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</si>
  <si>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</si>
  <si>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</si>
  <si>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</si>
  <si>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</si>
  <si>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</si>
  <si>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</si>
  <si>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</si>
  <si>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</si>
  <si>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</si>
  <si>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</si>
  <si>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</si>
  <si>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</si>
  <si>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</si>
  <si>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</si>
  <si>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</si>
  <si>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</si>
  <si>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</si>
  <si>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</si>
  <si>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</si>
  <si>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</si>
  <si>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</si>
  <si>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</si>
  <si>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</si>
  <si>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</si>
  <si>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</si>
  <si>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</si>
  <si>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</si>
  <si>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</si>
  <si>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</si>
  <si>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</si>
  <si>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</si>
  <si>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</si>
  <si>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</si>
  <si>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</si>
  <si>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</si>
  <si>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</si>
  <si>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</si>
  <si>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</si>
  <si>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</si>
  <si>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</si>
  <si>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</si>
  <si>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</si>
  <si>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</si>
  <si>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</si>
  <si>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</si>
  <si>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</si>
  <si>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</si>
  <si>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</si>
  <si>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040022901</t>
  </si>
  <si>
    <t>47625429199</t>
  </si>
  <si>
    <t>1665</t>
  </si>
  <si>
    <t>Arena Hospitality Group d.d.</t>
  </si>
  <si>
    <t>Pula</t>
  </si>
  <si>
    <t>Smareglina ulica 3</t>
  </si>
  <si>
    <t>uprava@arenahospitalitygroup.com</t>
  </si>
  <si>
    <t>www.arenahospitalitygroup.com</t>
  </si>
  <si>
    <t>052/223-811</t>
  </si>
  <si>
    <t>74780000Z0PH7TFW3I85</t>
  </si>
  <si>
    <t>Obveznik: Arena Hospitality Group d.d.</t>
  </si>
  <si>
    <t>HR</t>
  </si>
  <si>
    <t>Neven Čale</t>
  </si>
  <si>
    <t xml:space="preserve">ncale@arenahospitalitygroup.com </t>
  </si>
  <si>
    <t>stanje na dan 30.06.2023.</t>
  </si>
  <si>
    <t>u razdoblju 01.01.2023. do 30.06.2023.</t>
  </si>
  <si>
    <t xml:space="preserve">BILJEŠKE UZ FINANCIJSKE IZVJEŠTAJE - TFI
(koji se sastavljaju za tromjesečna razdoblja)
Naziv izdavatelja:   Arena Hospitality Group d.d.
OIB:  47625429199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2022.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2022. objavljen u Bilješkama 12. i 13.
6. prosječan broj zaposlenih tijekom tekućeg razdoblja
- 907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29.425 eura, 11.193 eura poreza i doprinosa iz plaće te 5.664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2022. godinu na str. 202.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</si>
</sst>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view="pageBreakPreview" zoomScaleNormal="100" zoomScaleSheetLayoutView="100" workbookViewId="0">
      <selection activeCell="J8" sqref="J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45107</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459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448</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449</v>
      </c>
      <c r="D15" s="140"/>
      <c r="E15" s="157"/>
      <c r="F15" s="158"/>
      <c r="G15" s="101" t="s">
        <v>332</v>
      </c>
      <c r="H15" s="149" t="s">
        <v>457</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450</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451</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52100</v>
      </c>
      <c r="D21" s="150"/>
      <c r="E21" s="143"/>
      <c r="F21" s="143"/>
      <c r="G21" s="154" t="s">
        <v>452</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453</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454</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455</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1286</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335</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456</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461</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showGridLines="0" view="pageBreakPreview" topLeftCell="A55" zoomScale="110" zoomScaleNormal="115" zoomScaleSheetLayoutView="110" workbookViewId="0">
      <selection activeCell="J8" sqref="J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462</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458</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359409149</v>
      </c>
      <c r="I9" s="120">
        <f>I10+I17+I27+I38+I43</f>
        <v>365228989</v>
      </c>
    </row>
    <row r="10" spans="1:9" ht="12.75" customHeight="1" x14ac:dyDescent="0.2">
      <c r="A10" s="183" t="s">
        <v>5</v>
      </c>
      <c r="B10" s="183"/>
      <c r="C10" s="183"/>
      <c r="D10" s="183"/>
      <c r="E10" s="183"/>
      <c r="F10" s="183"/>
      <c r="G10" s="12">
        <v>3</v>
      </c>
      <c r="H10" s="120">
        <f>H11+H12+H13+H14+H15+H16</f>
        <v>458182</v>
      </c>
      <c r="I10" s="120">
        <f>I11+I12+I13+I14+I15+I16</f>
        <v>388417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458182</v>
      </c>
      <c r="I12" s="18">
        <v>388417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223913998</v>
      </c>
      <c r="I17" s="120">
        <f>I18+I19+I20+I21+I22+I23+I24+I25+I26</f>
        <v>228210067</v>
      </c>
    </row>
    <row r="18" spans="1:9" ht="12.75" customHeight="1" x14ac:dyDescent="0.2">
      <c r="A18" s="182" t="s">
        <v>13</v>
      </c>
      <c r="B18" s="182"/>
      <c r="C18" s="182"/>
      <c r="D18" s="182"/>
      <c r="E18" s="182"/>
      <c r="F18" s="182"/>
      <c r="G18" s="11">
        <v>11</v>
      </c>
      <c r="H18" s="18">
        <v>31154750</v>
      </c>
      <c r="I18" s="18">
        <v>31154750</v>
      </c>
    </row>
    <row r="19" spans="1:9" ht="12.75" customHeight="1" x14ac:dyDescent="0.2">
      <c r="A19" s="182" t="s">
        <v>14</v>
      </c>
      <c r="B19" s="182"/>
      <c r="C19" s="182"/>
      <c r="D19" s="182"/>
      <c r="E19" s="182"/>
      <c r="F19" s="182"/>
      <c r="G19" s="11">
        <v>12</v>
      </c>
      <c r="H19" s="18">
        <v>162044085</v>
      </c>
      <c r="I19" s="18">
        <v>160230152</v>
      </c>
    </row>
    <row r="20" spans="1:9" ht="12.75" customHeight="1" x14ac:dyDescent="0.2">
      <c r="A20" s="182" t="s">
        <v>15</v>
      </c>
      <c r="B20" s="182"/>
      <c r="C20" s="182"/>
      <c r="D20" s="182"/>
      <c r="E20" s="182"/>
      <c r="F20" s="182"/>
      <c r="G20" s="11">
        <v>13</v>
      </c>
      <c r="H20" s="18">
        <v>19602939</v>
      </c>
      <c r="I20" s="18">
        <v>16271233</v>
      </c>
    </row>
    <row r="21" spans="1:9" ht="12.75" customHeight="1" x14ac:dyDescent="0.2">
      <c r="A21" s="182" t="s">
        <v>16</v>
      </c>
      <c r="B21" s="182"/>
      <c r="C21" s="182"/>
      <c r="D21" s="182"/>
      <c r="E21" s="182"/>
      <c r="F21" s="182"/>
      <c r="G21" s="11">
        <v>14</v>
      </c>
      <c r="H21" s="18">
        <v>360697</v>
      </c>
      <c r="I21" s="18">
        <v>318875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798228</v>
      </c>
      <c r="I23" s="18">
        <v>863741</v>
      </c>
    </row>
    <row r="24" spans="1:9" ht="12.75" customHeight="1" x14ac:dyDescent="0.2">
      <c r="A24" s="182" t="s">
        <v>19</v>
      </c>
      <c r="B24" s="182"/>
      <c r="C24" s="182"/>
      <c r="D24" s="182"/>
      <c r="E24" s="182"/>
      <c r="F24" s="182"/>
      <c r="G24" s="11">
        <v>17</v>
      </c>
      <c r="H24" s="18">
        <v>7901914</v>
      </c>
      <c r="I24" s="18">
        <v>17576790</v>
      </c>
    </row>
    <row r="25" spans="1:9" ht="12.75" customHeight="1" x14ac:dyDescent="0.2">
      <c r="A25" s="182" t="s">
        <v>20</v>
      </c>
      <c r="B25" s="182"/>
      <c r="C25" s="182"/>
      <c r="D25" s="182"/>
      <c r="E25" s="182"/>
      <c r="F25" s="182"/>
      <c r="G25" s="11">
        <v>18</v>
      </c>
      <c r="H25" s="18">
        <v>2051385</v>
      </c>
      <c r="I25" s="18">
        <v>1794526</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125105863</v>
      </c>
      <c r="I27" s="120">
        <f>SUM(I28:I37)</f>
        <v>126699399</v>
      </c>
    </row>
    <row r="28" spans="1:9" ht="12.75" customHeight="1" x14ac:dyDescent="0.2">
      <c r="A28" s="182" t="s">
        <v>23</v>
      </c>
      <c r="B28" s="182"/>
      <c r="C28" s="182"/>
      <c r="D28" s="182"/>
      <c r="E28" s="182"/>
      <c r="F28" s="182"/>
      <c r="G28" s="11">
        <v>21</v>
      </c>
      <c r="H28" s="18">
        <v>72559666</v>
      </c>
      <c r="I28" s="18">
        <v>72559666</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43799442</v>
      </c>
      <c r="I30" s="18">
        <v>45289562</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8746755</v>
      </c>
      <c r="I35" s="18">
        <v>8850171</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9931106</v>
      </c>
      <c r="I43" s="18">
        <v>9931106</v>
      </c>
    </row>
    <row r="44" spans="1:9" ht="12.75" customHeight="1" x14ac:dyDescent="0.2">
      <c r="A44" s="184" t="s">
        <v>303</v>
      </c>
      <c r="B44" s="184"/>
      <c r="C44" s="184"/>
      <c r="D44" s="184"/>
      <c r="E44" s="184"/>
      <c r="F44" s="184"/>
      <c r="G44" s="12">
        <v>37</v>
      </c>
      <c r="H44" s="120">
        <f>H45+H53+H60+H70</f>
        <v>59128752</v>
      </c>
      <c r="I44" s="120">
        <f>I45+I53+I60+I70</f>
        <v>49229864</v>
      </c>
    </row>
    <row r="45" spans="1:9" ht="12.75" customHeight="1" x14ac:dyDescent="0.2">
      <c r="A45" s="183" t="s">
        <v>39</v>
      </c>
      <c r="B45" s="183"/>
      <c r="C45" s="183"/>
      <c r="D45" s="183"/>
      <c r="E45" s="183"/>
      <c r="F45" s="183"/>
      <c r="G45" s="12">
        <v>38</v>
      </c>
      <c r="H45" s="120">
        <f>SUM(H46:H52)</f>
        <v>433126</v>
      </c>
      <c r="I45" s="120">
        <f>SUM(I46:I52)</f>
        <v>1081689</v>
      </c>
    </row>
    <row r="46" spans="1:9" ht="12.75" customHeight="1" x14ac:dyDescent="0.2">
      <c r="A46" s="182" t="s">
        <v>40</v>
      </c>
      <c r="B46" s="182"/>
      <c r="C46" s="182"/>
      <c r="D46" s="182"/>
      <c r="E46" s="182"/>
      <c r="F46" s="182"/>
      <c r="G46" s="11">
        <v>39</v>
      </c>
      <c r="H46" s="18">
        <v>402683</v>
      </c>
      <c r="I46" s="18">
        <v>1036756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26947</v>
      </c>
      <c r="I49" s="18">
        <v>44933</v>
      </c>
    </row>
    <row r="50" spans="1:9" ht="12.75" customHeight="1" x14ac:dyDescent="0.2">
      <c r="A50" s="182" t="s">
        <v>44</v>
      </c>
      <c r="B50" s="182"/>
      <c r="C50" s="182"/>
      <c r="D50" s="182"/>
      <c r="E50" s="182"/>
      <c r="F50" s="182"/>
      <c r="G50" s="11">
        <v>43</v>
      </c>
      <c r="H50" s="18">
        <v>3496</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3107507</v>
      </c>
      <c r="I53" s="120">
        <f>SUM(I54:I59)</f>
        <v>12337036</v>
      </c>
    </row>
    <row r="54" spans="1:9" ht="12.75" customHeight="1" x14ac:dyDescent="0.2">
      <c r="A54" s="182" t="s">
        <v>48</v>
      </c>
      <c r="B54" s="182"/>
      <c r="C54" s="182"/>
      <c r="D54" s="182"/>
      <c r="E54" s="182"/>
      <c r="F54" s="182"/>
      <c r="G54" s="11">
        <v>47</v>
      </c>
      <c r="H54" s="18">
        <v>1618227</v>
      </c>
      <c r="I54" s="18">
        <v>3945425</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925320</v>
      </c>
      <c r="I56" s="18">
        <v>8040021</v>
      </c>
    </row>
    <row r="57" spans="1:9" ht="12.75" customHeight="1" x14ac:dyDescent="0.2">
      <c r="A57" s="182" t="s">
        <v>51</v>
      </c>
      <c r="B57" s="182"/>
      <c r="C57" s="182"/>
      <c r="D57" s="182"/>
      <c r="E57" s="182"/>
      <c r="F57" s="182"/>
      <c r="G57" s="11">
        <v>50</v>
      </c>
      <c r="H57" s="18">
        <v>2925</v>
      </c>
      <c r="I57" s="18">
        <v>26760</v>
      </c>
    </row>
    <row r="58" spans="1:9" ht="12.75" customHeight="1" x14ac:dyDescent="0.2">
      <c r="A58" s="182" t="s">
        <v>52</v>
      </c>
      <c r="B58" s="182"/>
      <c r="C58" s="182"/>
      <c r="D58" s="182"/>
      <c r="E58" s="182"/>
      <c r="F58" s="182"/>
      <c r="G58" s="11">
        <v>51</v>
      </c>
      <c r="H58" s="18">
        <v>231456</v>
      </c>
      <c r="I58" s="18">
        <v>80451</v>
      </c>
    </row>
    <row r="59" spans="1:9" ht="12.75" customHeight="1" x14ac:dyDescent="0.2">
      <c r="A59" s="182" t="s">
        <v>53</v>
      </c>
      <c r="B59" s="182"/>
      <c r="C59" s="182"/>
      <c r="D59" s="182"/>
      <c r="E59" s="182"/>
      <c r="F59" s="182"/>
      <c r="G59" s="11">
        <v>52</v>
      </c>
      <c r="H59" s="18">
        <v>329579</v>
      </c>
      <c r="I59" s="18">
        <v>244379</v>
      </c>
    </row>
    <row r="60" spans="1:9" ht="12.75" customHeight="1" x14ac:dyDescent="0.2">
      <c r="A60" s="183" t="s">
        <v>54</v>
      </c>
      <c r="B60" s="183"/>
      <c r="C60" s="183"/>
      <c r="D60" s="183"/>
      <c r="E60" s="183"/>
      <c r="F60" s="183"/>
      <c r="G60" s="12">
        <v>53</v>
      </c>
      <c r="H60" s="120">
        <f>SUM(H61:H69)</f>
        <v>5309</v>
      </c>
      <c r="I60" s="120">
        <f>SUM(I61:I69)</f>
        <v>5309</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5309</v>
      </c>
      <c r="I67" s="18">
        <v>5309</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55582810</v>
      </c>
      <c r="I70" s="18">
        <v>35805830</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418537901</v>
      </c>
      <c r="I72" s="120">
        <f>I8+I9+I44+I71</f>
        <v>414458853</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268983962</v>
      </c>
      <c r="I75" s="121">
        <f>I76+I77+I78+I84+I85+I91+I94+I97</f>
        <v>256735039</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151667929</v>
      </c>
    </row>
    <row r="78" spans="1:9" ht="12.75" customHeight="1" x14ac:dyDescent="0.2">
      <c r="A78" s="183" t="s">
        <v>63</v>
      </c>
      <c r="B78" s="183"/>
      <c r="C78" s="183"/>
      <c r="D78" s="183"/>
      <c r="E78" s="183"/>
      <c r="F78" s="183"/>
      <c r="G78" s="12">
        <v>70</v>
      </c>
      <c r="H78" s="121">
        <f>SUM(H79:H83)</f>
        <v>73609623</v>
      </c>
      <c r="I78" s="121">
        <f>SUM(I79:I83)</f>
        <v>73486041</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3026752</v>
      </c>
      <c r="I80" s="18">
        <v>3257879</v>
      </c>
    </row>
    <row r="81" spans="1:9" ht="12.75" customHeight="1" x14ac:dyDescent="0.2">
      <c r="A81" s="182" t="s">
        <v>66</v>
      </c>
      <c r="B81" s="182"/>
      <c r="C81" s="182"/>
      <c r="D81" s="182"/>
      <c r="E81" s="182"/>
      <c r="F81" s="182"/>
      <c r="G81" s="11">
        <v>73</v>
      </c>
      <c r="H81" s="18">
        <v>-3026752</v>
      </c>
      <c r="I81" s="18">
        <v>-3257879</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72928925</v>
      </c>
      <c r="I83" s="18">
        <v>72805343</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3" t="s">
        <v>350</v>
      </c>
      <c r="B91" s="183"/>
      <c r="C91" s="183"/>
      <c r="D91" s="183"/>
      <c r="E91" s="183"/>
      <c r="F91" s="183"/>
      <c r="G91" s="12">
        <v>83</v>
      </c>
      <c r="H91" s="120">
        <f>H92-H93</f>
        <v>23052651</v>
      </c>
      <c r="I91" s="120">
        <f>I92-I93</f>
        <v>26555701</v>
      </c>
    </row>
    <row r="92" spans="1:9" ht="12.75" customHeight="1" x14ac:dyDescent="0.2">
      <c r="A92" s="182" t="s">
        <v>72</v>
      </c>
      <c r="B92" s="182"/>
      <c r="C92" s="182"/>
      <c r="D92" s="182"/>
      <c r="E92" s="182"/>
      <c r="F92" s="182"/>
      <c r="G92" s="11">
        <v>84</v>
      </c>
      <c r="H92" s="18">
        <v>23052651</v>
      </c>
      <c r="I92" s="18">
        <v>26555701</v>
      </c>
    </row>
    <row r="93" spans="1:9" ht="12.75" customHeight="1" x14ac:dyDescent="0.2">
      <c r="A93" s="182" t="s">
        <v>73</v>
      </c>
      <c r="B93" s="182"/>
      <c r="C93" s="182"/>
      <c r="D93" s="182"/>
      <c r="E93" s="182"/>
      <c r="F93" s="182"/>
      <c r="G93" s="11">
        <v>85</v>
      </c>
      <c r="H93" s="18">
        <v>0</v>
      </c>
      <c r="I93" s="18">
        <v>0</v>
      </c>
    </row>
    <row r="94" spans="1:9" ht="12.75" customHeight="1" x14ac:dyDescent="0.2">
      <c r="A94" s="183" t="s">
        <v>351</v>
      </c>
      <c r="B94" s="183"/>
      <c r="C94" s="183"/>
      <c r="D94" s="183"/>
      <c r="E94" s="183"/>
      <c r="F94" s="183"/>
      <c r="G94" s="12">
        <v>86</v>
      </c>
      <c r="H94" s="120">
        <f>H95-H96</f>
        <v>7039794</v>
      </c>
      <c r="I94" s="120">
        <f>I95-I96</f>
        <v>-8588597</v>
      </c>
    </row>
    <row r="95" spans="1:9" ht="12.75" customHeight="1" x14ac:dyDescent="0.2">
      <c r="A95" s="182" t="s">
        <v>74</v>
      </c>
      <c r="B95" s="182"/>
      <c r="C95" s="182"/>
      <c r="D95" s="182"/>
      <c r="E95" s="182"/>
      <c r="F95" s="182"/>
      <c r="G95" s="11">
        <v>87</v>
      </c>
      <c r="H95" s="18">
        <v>7039794</v>
      </c>
      <c r="I95" s="18">
        <v>0</v>
      </c>
    </row>
    <row r="96" spans="1:9" ht="12.75" customHeight="1" x14ac:dyDescent="0.2">
      <c r="A96" s="182" t="s">
        <v>75</v>
      </c>
      <c r="B96" s="182"/>
      <c r="C96" s="182"/>
      <c r="D96" s="182"/>
      <c r="E96" s="182"/>
      <c r="F96" s="182"/>
      <c r="G96" s="11">
        <v>88</v>
      </c>
      <c r="H96" s="18">
        <v>0</v>
      </c>
      <c r="I96" s="18">
        <v>8588597</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6643834</v>
      </c>
      <c r="I98" s="120">
        <f>SUM(I99:I104)</f>
        <v>6789827</v>
      </c>
    </row>
    <row r="99" spans="1:9" ht="12.75" customHeight="1" x14ac:dyDescent="0.2">
      <c r="A99" s="182" t="s">
        <v>77</v>
      </c>
      <c r="B99" s="182"/>
      <c r="C99" s="182"/>
      <c r="D99" s="182"/>
      <c r="E99" s="182"/>
      <c r="F99" s="182"/>
      <c r="G99" s="11">
        <v>91</v>
      </c>
      <c r="H99" s="18">
        <v>623826</v>
      </c>
      <c r="I99" s="18">
        <v>769818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6020008</v>
      </c>
      <c r="I104" s="18">
        <v>6020009</v>
      </c>
    </row>
    <row r="105" spans="1:9" ht="12.75" customHeight="1" x14ac:dyDescent="0.2">
      <c r="A105" s="184" t="s">
        <v>354</v>
      </c>
      <c r="B105" s="184"/>
      <c r="C105" s="184"/>
      <c r="D105" s="184"/>
      <c r="E105" s="184"/>
      <c r="F105" s="184"/>
      <c r="G105" s="12">
        <v>97</v>
      </c>
      <c r="H105" s="120">
        <f>SUM(H106:H116)</f>
        <v>113104669</v>
      </c>
      <c r="I105" s="120">
        <f>SUM(I106:I116)</f>
        <v>106502594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113104669</v>
      </c>
      <c r="I111" s="18">
        <v>106502594</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29805436</v>
      </c>
      <c r="I117" s="120">
        <f>SUM(I118:I131)</f>
        <v>44431393</v>
      </c>
    </row>
    <row r="118" spans="1:9" ht="12.75" customHeight="1" x14ac:dyDescent="0.2">
      <c r="A118" s="182" t="s">
        <v>83</v>
      </c>
      <c r="B118" s="182"/>
      <c r="C118" s="182"/>
      <c r="D118" s="182"/>
      <c r="E118" s="182"/>
      <c r="F118" s="182"/>
      <c r="G118" s="11">
        <v>110</v>
      </c>
      <c r="H118" s="18">
        <v>1131562</v>
      </c>
      <c r="I118" s="18">
        <v>1355385</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18437288</v>
      </c>
      <c r="I123" s="18">
        <v>18742500</v>
      </c>
    </row>
    <row r="124" spans="1:9" ht="12.75" customHeight="1" x14ac:dyDescent="0.2">
      <c r="A124" s="182" t="s">
        <v>89</v>
      </c>
      <c r="B124" s="182"/>
      <c r="C124" s="182"/>
      <c r="D124" s="182"/>
      <c r="E124" s="182"/>
      <c r="F124" s="182"/>
      <c r="G124" s="11">
        <v>116</v>
      </c>
      <c r="H124" s="18">
        <v>910843</v>
      </c>
      <c r="I124" s="18">
        <v>7171301</v>
      </c>
    </row>
    <row r="125" spans="1:9" ht="12.75" customHeight="1" x14ac:dyDescent="0.2">
      <c r="A125" s="182" t="s">
        <v>90</v>
      </c>
      <c r="B125" s="182"/>
      <c r="C125" s="182"/>
      <c r="D125" s="182"/>
      <c r="E125" s="182"/>
      <c r="F125" s="182"/>
      <c r="G125" s="11">
        <v>117</v>
      </c>
      <c r="H125" s="18">
        <v>1026826</v>
      </c>
      <c r="I125" s="18">
        <v>4824392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2732250</v>
      </c>
      <c r="I127" s="18">
        <v>3231716</v>
      </c>
    </row>
    <row r="128" spans="1:9" x14ac:dyDescent="0.2">
      <c r="A128" s="182" t="s">
        <v>95</v>
      </c>
      <c r="B128" s="182"/>
      <c r="C128" s="182"/>
      <c r="D128" s="182"/>
      <c r="E128" s="182"/>
      <c r="F128" s="182"/>
      <c r="G128" s="11">
        <v>120</v>
      </c>
      <c r="H128" s="18">
        <v>543516</v>
      </c>
      <c r="I128" s="18">
        <v>2225316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5023151</v>
      </c>
      <c r="I131" s="18">
        <v>6880783</v>
      </c>
    </row>
    <row r="132" spans="1:9" ht="22.15" customHeight="1" x14ac:dyDescent="0.2">
      <c r="A132" s="198" t="s">
        <v>99</v>
      </c>
      <c r="B132" s="198"/>
      <c r="C132" s="198"/>
      <c r="D132" s="198"/>
      <c r="E132" s="198"/>
      <c r="F132" s="198"/>
      <c r="G132" s="11">
        <v>124</v>
      </c>
      <c r="H132" s="18">
        <v>0</v>
      </c>
      <c r="I132" s="18">
        <v>0</v>
      </c>
    </row>
    <row r="133" spans="1:9" ht="12.75" customHeight="1" x14ac:dyDescent="0.2">
      <c r="A133" s="184" t="s">
        <v>356</v>
      </c>
      <c r="B133" s="184"/>
      <c r="C133" s="184"/>
      <c r="D133" s="184"/>
      <c r="E133" s="184"/>
      <c r="F133" s="184"/>
      <c r="G133" s="12">
        <v>125</v>
      </c>
      <c r="H133" s="120">
        <f>H75+H98+H105+H117+H132</f>
        <v>418537901</v>
      </c>
      <c r="I133" s="120">
        <f>I75+I98+I105+I117+I132</f>
        <v>414458853</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showGridLines="0" view="pageBreakPreview" zoomScale="110" zoomScaleNormal="100" zoomScaleSheetLayoutView="110" workbookViewId="0">
      <selection activeCell="J8" sqref="J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463</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458</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19943224</v>
      </c>
      <c r="I8" s="52">
        <f>SUM(I9:I13)</f>
        <v>17926066</v>
      </c>
      <c r="J8" s="52">
        <f>SUM(J9:J13)</f>
        <v>26073918</v>
      </c>
      <c r="K8" s="52">
        <f>SUM(K9:K13)</f>
        <v>23385563</v>
      </c>
    </row>
    <row r="9" spans="1:11" ht="12.75" customHeight="1" x14ac:dyDescent="0.2">
      <c r="A9" s="182" t="s">
        <v>115</v>
      </c>
      <c r="B9" s="182"/>
      <c r="C9" s="182"/>
      <c r="D9" s="182"/>
      <c r="E9" s="182"/>
      <c r="F9" s="182"/>
      <c r="G9" s="11">
        <v>2</v>
      </c>
      <c r="H9" s="53">
        <v>488637</v>
      </c>
      <c r="I9" s="53">
        <v>255593</v>
      </c>
      <c r="J9" s="53">
        <v>547699</v>
      </c>
      <c r="K9" s="53">
        <v>265606</v>
      </c>
    </row>
    <row r="10" spans="1:11" ht="12.75" customHeight="1" x14ac:dyDescent="0.2">
      <c r="A10" s="182" t="s">
        <v>116</v>
      </c>
      <c r="B10" s="182"/>
      <c r="C10" s="182"/>
      <c r="D10" s="182"/>
      <c r="E10" s="182"/>
      <c r="F10" s="182"/>
      <c r="G10" s="11">
        <v>3</v>
      </c>
      <c r="H10" s="53">
        <v>19246034</v>
      </c>
      <c r="I10" s="53">
        <v>17575679</v>
      </c>
      <c r="J10" s="53">
        <v>25295620</v>
      </c>
      <c r="K10" s="53">
        <v>23046472</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208553</v>
      </c>
      <c r="I13" s="53">
        <v>94794</v>
      </c>
      <c r="J13" s="53">
        <v>230599</v>
      </c>
      <c r="K13" s="53">
        <v>73485</v>
      </c>
    </row>
    <row r="14" spans="1:11" ht="12.75" customHeight="1" x14ac:dyDescent="0.2">
      <c r="A14" s="216" t="s">
        <v>358</v>
      </c>
      <c r="B14" s="216"/>
      <c r="C14" s="216"/>
      <c r="D14" s="216"/>
      <c r="E14" s="216"/>
      <c r="F14" s="216"/>
      <c r="G14" s="12">
        <v>7</v>
      </c>
      <c r="H14" s="52">
        <f>H15+H16+H20+H24+H25+H26+H29+H36</f>
        <v>27664508</v>
      </c>
      <c r="I14" s="52">
        <f>I15+I16+I20+I24+I25+I26+I29+I36</f>
        <v>18404055</v>
      </c>
      <c r="J14" s="52">
        <f>J15+J16+J20+J24+J25+J26+J29+J36</f>
        <v>34054252</v>
      </c>
      <c r="K14" s="52">
        <f>K15+K16+K20+K24+K25+K26+K29+K36</f>
        <v>22517881</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10416200</v>
      </c>
      <c r="I16" s="52">
        <f>SUM(I17:I19)</f>
        <v>8056829</v>
      </c>
      <c r="J16" s="52">
        <f>SUM(J17:J19)</f>
        <v>13258581</v>
      </c>
      <c r="K16" s="52">
        <f>SUM(K17:K19)</f>
        <v>10048533</v>
      </c>
    </row>
    <row r="17" spans="1:11" ht="12.75" customHeight="1" x14ac:dyDescent="0.2">
      <c r="A17" s="217" t="s">
        <v>120</v>
      </c>
      <c r="B17" s="217"/>
      <c r="C17" s="217"/>
      <c r="D17" s="217"/>
      <c r="E17" s="217"/>
      <c r="F17" s="217"/>
      <c r="G17" s="11">
        <v>10</v>
      </c>
      <c r="H17" s="53">
        <v>5582970</v>
      </c>
      <c r="I17" s="53">
        <v>4453063</v>
      </c>
      <c r="J17" s="53">
        <v>7301265</v>
      </c>
      <c r="K17" s="53">
        <v>5528699</v>
      </c>
    </row>
    <row r="18" spans="1:11" ht="12.75" customHeight="1" x14ac:dyDescent="0.2">
      <c r="A18" s="217" t="s">
        <v>121</v>
      </c>
      <c r="B18" s="217"/>
      <c r="C18" s="217"/>
      <c r="D18" s="217"/>
      <c r="E18" s="217"/>
      <c r="F18" s="217"/>
      <c r="G18" s="11">
        <v>11</v>
      </c>
      <c r="H18" s="53">
        <v>9083</v>
      </c>
      <c r="I18" s="53">
        <v>8509</v>
      </c>
      <c r="J18" s="53">
        <v>14070</v>
      </c>
      <c r="K18" s="53">
        <v>13152</v>
      </c>
    </row>
    <row r="19" spans="1:11" ht="12.75" customHeight="1" x14ac:dyDescent="0.2">
      <c r="A19" s="217" t="s">
        <v>122</v>
      </c>
      <c r="B19" s="217"/>
      <c r="C19" s="217"/>
      <c r="D19" s="217"/>
      <c r="E19" s="217"/>
      <c r="F19" s="217"/>
      <c r="G19" s="11">
        <v>12</v>
      </c>
      <c r="H19" s="53">
        <v>4824147</v>
      </c>
      <c r="I19" s="53">
        <v>3595257</v>
      </c>
      <c r="J19" s="53">
        <v>5943246</v>
      </c>
      <c r="K19" s="53">
        <v>4506682</v>
      </c>
    </row>
    <row r="20" spans="1:11" ht="12.75" customHeight="1" x14ac:dyDescent="0.2">
      <c r="A20" s="183" t="s">
        <v>439</v>
      </c>
      <c r="B20" s="183"/>
      <c r="C20" s="183"/>
      <c r="D20" s="183"/>
      <c r="E20" s="183"/>
      <c r="F20" s="183"/>
      <c r="G20" s="12">
        <v>13</v>
      </c>
      <c r="H20" s="52">
        <f>SUM(H21:H23)</f>
        <v>10070421</v>
      </c>
      <c r="I20" s="52">
        <f>SUM(I21:I23)</f>
        <v>6449615</v>
      </c>
      <c r="J20" s="52">
        <f>SUM(J21:J23)</f>
        <v>12031626</v>
      </c>
      <c r="K20" s="52">
        <f>SUM(K21:K23)</f>
        <v>7843459</v>
      </c>
    </row>
    <row r="21" spans="1:11" ht="12.75" customHeight="1" x14ac:dyDescent="0.2">
      <c r="A21" s="217" t="s">
        <v>105</v>
      </c>
      <c r="B21" s="217"/>
      <c r="C21" s="217"/>
      <c r="D21" s="217"/>
      <c r="E21" s="217"/>
      <c r="F21" s="217"/>
      <c r="G21" s="11">
        <v>14</v>
      </c>
      <c r="H21" s="53">
        <v>6644629</v>
      </c>
      <c r="I21" s="53">
        <v>4248976</v>
      </c>
      <c r="J21" s="53">
        <v>7649487</v>
      </c>
      <c r="K21" s="53">
        <v>5053243</v>
      </c>
    </row>
    <row r="22" spans="1:11" ht="12.75" customHeight="1" x14ac:dyDescent="0.2">
      <c r="A22" s="217" t="s">
        <v>106</v>
      </c>
      <c r="B22" s="217"/>
      <c r="C22" s="217"/>
      <c r="D22" s="217"/>
      <c r="E22" s="217"/>
      <c r="F22" s="217"/>
      <c r="G22" s="11">
        <v>15</v>
      </c>
      <c r="H22" s="53">
        <v>2239133</v>
      </c>
      <c r="I22" s="53">
        <v>1429777</v>
      </c>
      <c r="J22" s="53">
        <v>2909792</v>
      </c>
      <c r="K22" s="53">
        <v>1835191</v>
      </c>
    </row>
    <row r="23" spans="1:11" ht="12.75" customHeight="1" x14ac:dyDescent="0.2">
      <c r="A23" s="217" t="s">
        <v>107</v>
      </c>
      <c r="B23" s="217"/>
      <c r="C23" s="217"/>
      <c r="D23" s="217"/>
      <c r="E23" s="217"/>
      <c r="F23" s="217"/>
      <c r="G23" s="11">
        <v>16</v>
      </c>
      <c r="H23" s="53">
        <v>1186659</v>
      </c>
      <c r="I23" s="53">
        <v>770862</v>
      </c>
      <c r="J23" s="53">
        <v>1472347</v>
      </c>
      <c r="K23" s="53">
        <v>955025</v>
      </c>
    </row>
    <row r="24" spans="1:11" ht="12.75" customHeight="1" x14ac:dyDescent="0.2">
      <c r="A24" s="182" t="s">
        <v>108</v>
      </c>
      <c r="B24" s="182"/>
      <c r="C24" s="182"/>
      <c r="D24" s="182"/>
      <c r="E24" s="182"/>
      <c r="F24" s="182"/>
      <c r="G24" s="11">
        <v>17</v>
      </c>
      <c r="H24" s="53">
        <v>4844325</v>
      </c>
      <c r="I24" s="53">
        <v>2502183</v>
      </c>
      <c r="J24" s="53">
        <v>5947497</v>
      </c>
      <c r="K24" s="53">
        <v>3002112</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2333562</v>
      </c>
      <c r="I36" s="53">
        <v>1395428</v>
      </c>
      <c r="J36" s="53">
        <v>2816548</v>
      </c>
      <c r="K36" s="53">
        <v>1623777</v>
      </c>
    </row>
    <row r="37" spans="1:11" ht="12.75" customHeight="1" x14ac:dyDescent="0.2">
      <c r="A37" s="216" t="s">
        <v>359</v>
      </c>
      <c r="B37" s="216"/>
      <c r="C37" s="216"/>
      <c r="D37" s="216"/>
      <c r="E37" s="216"/>
      <c r="F37" s="216"/>
      <c r="G37" s="12">
        <v>30</v>
      </c>
      <c r="H37" s="52">
        <f>SUM(H38:H47)</f>
        <v>513893</v>
      </c>
      <c r="I37" s="52">
        <f>SUM(I38:I47)</f>
        <v>385745</v>
      </c>
      <c r="J37" s="52">
        <f>SUM(J38:J47)</f>
        <v>820350</v>
      </c>
      <c r="K37" s="52">
        <f>SUM(K38:K47)</f>
        <v>439611</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493259</v>
      </c>
      <c r="I41" s="53">
        <v>258531</v>
      </c>
      <c r="J41" s="53">
        <v>530681</v>
      </c>
      <c r="K41" s="53">
        <v>270616</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16979</v>
      </c>
      <c r="I43" s="53">
        <v>16979</v>
      </c>
      <c r="J43" s="53">
        <v>0</v>
      </c>
      <c r="K43" s="53">
        <v>0</v>
      </c>
    </row>
    <row r="44" spans="1:11" ht="12.75" customHeight="1" x14ac:dyDescent="0.2">
      <c r="A44" s="182" t="s">
        <v>137</v>
      </c>
      <c r="B44" s="182"/>
      <c r="C44" s="182"/>
      <c r="D44" s="182"/>
      <c r="E44" s="182"/>
      <c r="F44" s="182"/>
      <c r="G44" s="11">
        <v>37</v>
      </c>
      <c r="H44" s="53">
        <v>0</v>
      </c>
      <c r="I44" s="53">
        <v>-1850</v>
      </c>
      <c r="J44" s="53">
        <v>289669</v>
      </c>
      <c r="K44" s="53">
        <v>168049</v>
      </c>
    </row>
    <row r="45" spans="1:11" ht="12.75" customHeight="1" x14ac:dyDescent="0.2">
      <c r="A45" s="182" t="s">
        <v>138</v>
      </c>
      <c r="B45" s="182"/>
      <c r="C45" s="182"/>
      <c r="D45" s="182"/>
      <c r="E45" s="182"/>
      <c r="F45" s="182"/>
      <c r="G45" s="11">
        <v>38</v>
      </c>
      <c r="H45" s="53">
        <v>0</v>
      </c>
      <c r="I45" s="53">
        <v>108430</v>
      </c>
      <c r="J45" s="53">
        <v>0</v>
      </c>
      <c r="K45" s="53">
        <v>946</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3655</v>
      </c>
      <c r="I47" s="53">
        <v>3655</v>
      </c>
      <c r="J47" s="53">
        <v>0</v>
      </c>
      <c r="K47" s="53">
        <v>0</v>
      </c>
    </row>
    <row r="48" spans="1:11" ht="12.75" customHeight="1" x14ac:dyDescent="0.2">
      <c r="A48" s="216" t="s">
        <v>360</v>
      </c>
      <c r="B48" s="216"/>
      <c r="C48" s="216"/>
      <c r="D48" s="216"/>
      <c r="E48" s="216"/>
      <c r="F48" s="216"/>
      <c r="G48" s="12">
        <v>41</v>
      </c>
      <c r="H48" s="52">
        <f>SUM(H49:H55)</f>
        <v>928249</v>
      </c>
      <c r="I48" s="52">
        <f>SUM(I49:I55)</f>
        <v>436688</v>
      </c>
      <c r="J48" s="52">
        <f>SUM(J49:J55)</f>
        <v>1428613</v>
      </c>
      <c r="K48" s="52">
        <f>SUM(K49:K55)</f>
        <v>731400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874720</v>
      </c>
      <c r="I51" s="53">
        <v>436688</v>
      </c>
      <c r="J51" s="53">
        <v>1388684</v>
      </c>
      <c r="K51" s="53">
        <v>692503</v>
      </c>
    </row>
    <row r="52" spans="1:11" ht="12.75" customHeight="1" x14ac:dyDescent="0.2">
      <c r="A52" s="220" t="s">
        <v>144</v>
      </c>
      <c r="B52" s="220"/>
      <c r="C52" s="220"/>
      <c r="D52" s="220"/>
      <c r="E52" s="220"/>
      <c r="F52" s="220"/>
      <c r="G52" s="11">
        <v>45</v>
      </c>
      <c r="H52" s="53">
        <v>53529</v>
      </c>
      <c r="I52" s="53">
        <v>0</v>
      </c>
      <c r="J52" s="53">
        <v>1032</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38897</v>
      </c>
      <c r="K55" s="53">
        <v>38897</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20457117</v>
      </c>
      <c r="I60" s="52">
        <f t="shared" ref="I60:K60" si="0">I8+I37+I56+I57</f>
        <v>18311811</v>
      </c>
      <c r="J60" s="52">
        <f t="shared" si="0"/>
        <v>26894268</v>
      </c>
      <c r="K60" s="52">
        <f t="shared" si="0"/>
        <v>23825174</v>
      </c>
    </row>
    <row r="61" spans="1:11" ht="12.75" customHeight="1" x14ac:dyDescent="0.2">
      <c r="A61" s="216" t="s">
        <v>362</v>
      </c>
      <c r="B61" s="216"/>
      <c r="C61" s="216"/>
      <c r="D61" s="216"/>
      <c r="E61" s="216"/>
      <c r="F61" s="216"/>
      <c r="G61" s="12">
        <v>54</v>
      </c>
      <c r="H61" s="52">
        <f>H14+H48+H58+H59</f>
        <v>28592757</v>
      </c>
      <c r="I61" s="52">
        <f t="shared" ref="I61:K61" si="1">I14+I48+I58+I59</f>
        <v>18840743</v>
      </c>
      <c r="J61" s="52">
        <f t="shared" si="1"/>
        <v>35482865</v>
      </c>
      <c r="K61" s="52">
        <f t="shared" si="1"/>
        <v>23249281</v>
      </c>
    </row>
    <row r="62" spans="1:11" ht="12.75" customHeight="1" x14ac:dyDescent="0.2">
      <c r="A62" s="216" t="s">
        <v>363</v>
      </c>
      <c r="B62" s="216"/>
      <c r="C62" s="216"/>
      <c r="D62" s="216"/>
      <c r="E62" s="216"/>
      <c r="F62" s="216"/>
      <c r="G62" s="12">
        <v>55</v>
      </c>
      <c r="H62" s="52">
        <f>H60-H61</f>
        <v>-8135640</v>
      </c>
      <c r="I62" s="52">
        <f t="shared" ref="I62:K62" si="2">I60-I61</f>
        <v>-528932</v>
      </c>
      <c r="J62" s="52">
        <f t="shared" si="2"/>
        <v>-8588597</v>
      </c>
      <c r="K62" s="52">
        <f t="shared" si="2"/>
        <v>575893</v>
      </c>
    </row>
    <row r="63" spans="1:11" ht="12.75" customHeight="1" x14ac:dyDescent="0.2">
      <c r="A63" s="221" t="s">
        <v>364</v>
      </c>
      <c r="B63" s="221"/>
      <c r="C63" s="221"/>
      <c r="D63" s="221"/>
      <c r="E63" s="221"/>
      <c r="F63" s="221"/>
      <c r="G63" s="12">
        <v>56</v>
      </c>
      <c r="H63" s="52">
        <f>+IF((H60-H61)&gt;0,(H60-H61),0)</f>
        <v>0</v>
      </c>
      <c r="I63" s="52">
        <f t="shared" ref="I63:K63" si="3">+IF((I60-I61)&gt;0,(I60-I61),0)</f>
        <v>0</v>
      </c>
      <c r="J63" s="52">
        <f t="shared" si="3"/>
        <v>0</v>
      </c>
      <c r="K63" s="52">
        <f t="shared" si="3"/>
        <v>575893</v>
      </c>
    </row>
    <row r="64" spans="1:11" ht="12.75" customHeight="1" x14ac:dyDescent="0.2">
      <c r="A64" s="221" t="s">
        <v>365</v>
      </c>
      <c r="B64" s="221"/>
      <c r="C64" s="221"/>
      <c r="D64" s="221"/>
      <c r="E64" s="221"/>
      <c r="F64" s="221"/>
      <c r="G64" s="12">
        <v>57</v>
      </c>
      <c r="H64" s="52">
        <f>+IF((H60-H61)&lt;0,(H60-H61),0)</f>
        <v>-8135640</v>
      </c>
      <c r="I64" s="52">
        <f t="shared" ref="I64:K64" si="4">+IF((I60-I61)&lt;0,(I60-I61),0)</f>
        <v>-528932</v>
      </c>
      <c r="J64" s="52">
        <f t="shared" si="4"/>
        <v>-8588597</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366</v>
      </c>
      <c r="B66" s="216"/>
      <c r="C66" s="216"/>
      <c r="D66" s="216"/>
      <c r="E66" s="216"/>
      <c r="F66" s="216"/>
      <c r="G66" s="12">
        <v>59</v>
      </c>
      <c r="H66" s="52">
        <f>H62-H65</f>
        <v>-8135640</v>
      </c>
      <c r="I66" s="52">
        <f t="shared" ref="I66:K66" si="5">I62-I65</f>
        <v>-528932</v>
      </c>
      <c r="J66" s="52">
        <f t="shared" si="5"/>
        <v>-8588597</v>
      </c>
      <c r="K66" s="52">
        <f t="shared" si="5"/>
        <v>575893</v>
      </c>
    </row>
    <row r="67" spans="1:11" ht="12.75" customHeight="1" x14ac:dyDescent="0.2">
      <c r="A67" s="221" t="s">
        <v>367</v>
      </c>
      <c r="B67" s="221"/>
      <c r="C67" s="221"/>
      <c r="D67" s="221"/>
      <c r="E67" s="221"/>
      <c r="F67" s="221"/>
      <c r="G67" s="12">
        <v>60</v>
      </c>
      <c r="H67" s="52">
        <f>+IF((H62-H65)&gt;0,(H62-H65),0)</f>
        <v>0</v>
      </c>
      <c r="I67" s="52">
        <f t="shared" ref="I67:K67" si="6">+IF((I62-I65)&gt;0,(I62-I65),0)</f>
        <v>0</v>
      </c>
      <c r="J67" s="52">
        <f t="shared" si="6"/>
        <v>0</v>
      </c>
      <c r="K67" s="52">
        <f t="shared" si="6"/>
        <v>575893</v>
      </c>
    </row>
    <row r="68" spans="1:11" ht="12.75" customHeight="1" x14ac:dyDescent="0.2">
      <c r="A68" s="221" t="s">
        <v>368</v>
      </c>
      <c r="B68" s="221"/>
      <c r="C68" s="221"/>
      <c r="D68" s="221"/>
      <c r="E68" s="221"/>
      <c r="F68" s="221"/>
      <c r="G68" s="12">
        <v>61</v>
      </c>
      <c r="H68" s="52">
        <f>+IF((H62-H65)&lt;0,(H62-H65),0)</f>
        <v>-8135640</v>
      </c>
      <c r="I68" s="52">
        <f t="shared" ref="I68:K68" si="7">+IF((I62-I65)&lt;0,(I62-I65),0)</f>
        <v>-528932</v>
      </c>
      <c r="J68" s="52">
        <f t="shared" si="7"/>
        <v>-8588597</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-8135640</v>
      </c>
      <c r="I89" s="56">
        <f t="shared" ref="I89:K89" si="8">I66</f>
        <v>-528932</v>
      </c>
      <c r="J89" s="56">
        <f t="shared" si="8"/>
        <v>-8588597</v>
      </c>
      <c r="K89" s="56">
        <f t="shared" si="8"/>
        <v>575893</v>
      </c>
    </row>
    <row r="90" spans="1:11" ht="24" customHeight="1" x14ac:dyDescent="0.2">
      <c r="A90" s="184" t="s">
        <v>435</v>
      </c>
      <c r="B90" s="184"/>
      <c r="C90" s="184"/>
      <c r="D90" s="184"/>
      <c r="E90" s="184"/>
      <c r="F90" s="184"/>
      <c r="G90" s="12">
        <v>79</v>
      </c>
      <c r="H90" s="73">
        <f>H91+H98</f>
        <v>0</v>
      </c>
      <c r="I90" s="73">
        <f>I91+I98</f>
        <v>0</v>
      </c>
      <c r="J90" s="73">
        <f t="shared" ref="J90:K90" si="9">J91+J98</f>
        <v>0</v>
      </c>
      <c r="K90" s="73">
        <f t="shared" si="9"/>
        <v>0</v>
      </c>
    </row>
    <row r="91" spans="1:11" ht="24" customHeight="1" x14ac:dyDescent="0.2">
      <c r="A91" s="231" t="s">
        <v>442</v>
      </c>
      <c r="B91" s="231"/>
      <c r="C91" s="231"/>
      <c r="D91" s="231"/>
      <c r="E91" s="231"/>
      <c r="F91" s="231"/>
      <c r="G91" s="12">
        <v>80</v>
      </c>
      <c r="H91" s="73">
        <f>SUM(H92:H96)</f>
        <v>0</v>
      </c>
      <c r="I91" s="73">
        <f>SUM(I92:I96)</f>
        <v>0</v>
      </c>
      <c r="J91" s="73">
        <f t="shared" ref="J91:K91" si="10">SUM(J92:J96)</f>
        <v>0</v>
      </c>
      <c r="K91" s="73">
        <f t="shared" si="10"/>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1">SUM(J99:J106)</f>
        <v>0</v>
      </c>
      <c r="K98" s="73">
        <f t="shared" si="11"/>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2">J91+J98-J107-J97</f>
        <v>0</v>
      </c>
      <c r="K108" s="73">
        <f t="shared" si="12"/>
        <v>0</v>
      </c>
    </row>
    <row r="109" spans="1:11" ht="12.75" customHeight="1" x14ac:dyDescent="0.2">
      <c r="A109" s="184" t="s">
        <v>391</v>
      </c>
      <c r="B109" s="184"/>
      <c r="C109" s="184"/>
      <c r="D109" s="184"/>
      <c r="E109" s="184"/>
      <c r="F109" s="184"/>
      <c r="G109" s="12">
        <v>98</v>
      </c>
      <c r="H109" s="55">
        <f>H89+H108</f>
        <v>-8135640</v>
      </c>
      <c r="I109" s="55">
        <f>I89+I108</f>
        <v>-528932</v>
      </c>
      <c r="J109" s="55">
        <f t="shared" ref="J109:K109" si="13">J89+J108</f>
        <v>-8588597</v>
      </c>
      <c r="K109" s="55">
        <f t="shared" si="13"/>
        <v>575893</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showGridLines="0" view="pageBreakPreview" zoomScaleNormal="115" zoomScaleSheetLayoutView="100" workbookViewId="0">
      <selection activeCell="J8" sqref="J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463</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458</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-8135640</v>
      </c>
      <c r="I8" s="68">
        <v>-8588597</v>
      </c>
    </row>
    <row r="9" spans="1:9" ht="12.75" customHeight="1" x14ac:dyDescent="0.2">
      <c r="A9" s="240" t="s">
        <v>171</v>
      </c>
      <c r="B9" s="240"/>
      <c r="C9" s="240"/>
      <c r="D9" s="240"/>
      <c r="E9" s="240"/>
      <c r="F9" s="240"/>
      <c r="G9" s="69">
        <v>2</v>
      </c>
      <c r="H9" s="70">
        <f>H10+H11+H12+H13+H14+H15+H16+H17</f>
        <v>5457540</v>
      </c>
      <c r="I9" s="70">
        <f>I10+I11+I12+I13+I14+I15+I16+I17</f>
        <v>6651208</v>
      </c>
    </row>
    <row r="10" spans="1:9" ht="12.75" customHeight="1" x14ac:dyDescent="0.2">
      <c r="A10" s="217" t="s">
        <v>172</v>
      </c>
      <c r="B10" s="217"/>
      <c r="C10" s="217"/>
      <c r="D10" s="217"/>
      <c r="E10" s="217"/>
      <c r="F10" s="217"/>
      <c r="G10" s="67">
        <v>3</v>
      </c>
      <c r="H10" s="68">
        <v>4844325</v>
      </c>
      <c r="I10" s="68">
        <v>5947497</v>
      </c>
    </row>
    <row r="11" spans="1:9" ht="22.15" customHeight="1" x14ac:dyDescent="0.2">
      <c r="A11" s="217" t="s">
        <v>173</v>
      </c>
      <c r="B11" s="217"/>
      <c r="C11" s="217"/>
      <c r="D11" s="217"/>
      <c r="E11" s="217"/>
      <c r="F11" s="217"/>
      <c r="G11" s="67">
        <v>4</v>
      </c>
      <c r="H11" s="68">
        <v>51031</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-510238</v>
      </c>
      <c r="I13" s="68">
        <v>-820350</v>
      </c>
    </row>
    <row r="14" spans="1:9" ht="12.75" customHeight="1" x14ac:dyDescent="0.2">
      <c r="A14" s="217" t="s">
        <v>176</v>
      </c>
      <c r="B14" s="217"/>
      <c r="C14" s="217"/>
      <c r="D14" s="217"/>
      <c r="E14" s="217"/>
      <c r="F14" s="217"/>
      <c r="G14" s="67">
        <v>7</v>
      </c>
      <c r="H14" s="68">
        <v>874720</v>
      </c>
      <c r="I14" s="68">
        <v>1416516</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90132</v>
      </c>
      <c r="I16" s="68">
        <v>0</v>
      </c>
    </row>
    <row r="17" spans="1:9" ht="25.15" customHeight="1" x14ac:dyDescent="0.2">
      <c r="A17" s="217" t="s">
        <v>179</v>
      </c>
      <c r="B17" s="217"/>
      <c r="C17" s="217"/>
      <c r="D17" s="217"/>
      <c r="E17" s="217"/>
      <c r="F17" s="217"/>
      <c r="G17" s="67">
        <v>10</v>
      </c>
      <c r="H17" s="68">
        <v>107570</v>
      </c>
      <c r="I17" s="68">
        <v>107545</v>
      </c>
    </row>
    <row r="18" spans="1:9" ht="28.15" customHeight="1" x14ac:dyDescent="0.2">
      <c r="A18" s="239" t="s">
        <v>306</v>
      </c>
      <c r="B18" s="239"/>
      <c r="C18" s="239"/>
      <c r="D18" s="239"/>
      <c r="E18" s="239"/>
      <c r="F18" s="239"/>
      <c r="G18" s="69">
        <v>11</v>
      </c>
      <c r="H18" s="70">
        <f>H8+H9</f>
        <v>-2678100</v>
      </c>
      <c r="I18" s="70">
        <f>I8+I9</f>
        <v>-1937389</v>
      </c>
    </row>
    <row r="19" spans="1:9" ht="12.75" customHeight="1" x14ac:dyDescent="0.2">
      <c r="A19" s="240" t="s">
        <v>180</v>
      </c>
      <c r="B19" s="240"/>
      <c r="C19" s="240"/>
      <c r="D19" s="240"/>
      <c r="E19" s="240"/>
      <c r="F19" s="240"/>
      <c r="G19" s="69">
        <v>12</v>
      </c>
      <c r="H19" s="70">
        <f>H20+H21+H22+H23</f>
        <v>3186742</v>
      </c>
      <c r="I19" s="70">
        <f>I20+I21+I22+I23</f>
        <v>3896342</v>
      </c>
    </row>
    <row r="20" spans="1:9" ht="12.75" customHeight="1" x14ac:dyDescent="0.2">
      <c r="A20" s="217" t="s">
        <v>181</v>
      </c>
      <c r="B20" s="217"/>
      <c r="C20" s="217"/>
      <c r="D20" s="217"/>
      <c r="E20" s="217"/>
      <c r="F20" s="217"/>
      <c r="G20" s="67">
        <v>13</v>
      </c>
      <c r="H20" s="68">
        <v>8923859</v>
      </c>
      <c r="I20" s="68">
        <v>13390870</v>
      </c>
    </row>
    <row r="21" spans="1:9" ht="12.75" customHeight="1" x14ac:dyDescent="0.2">
      <c r="A21" s="217" t="s">
        <v>182</v>
      </c>
      <c r="B21" s="217"/>
      <c r="C21" s="217"/>
      <c r="D21" s="217"/>
      <c r="E21" s="217"/>
      <c r="F21" s="217"/>
      <c r="G21" s="67">
        <v>14</v>
      </c>
      <c r="H21" s="68">
        <v>-4602595</v>
      </c>
      <c r="I21" s="68">
        <v>-9103065</v>
      </c>
    </row>
    <row r="22" spans="1:9" ht="12.75" customHeight="1" x14ac:dyDescent="0.2">
      <c r="A22" s="217" t="s">
        <v>183</v>
      </c>
      <c r="B22" s="217"/>
      <c r="C22" s="217"/>
      <c r="D22" s="217"/>
      <c r="E22" s="217"/>
      <c r="F22" s="217"/>
      <c r="G22" s="67">
        <v>15</v>
      </c>
      <c r="H22" s="68">
        <v>-1134522</v>
      </c>
      <c r="I22" s="68">
        <v>-391463</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508642</v>
      </c>
      <c r="I24" s="70">
        <f>I18+I19</f>
        <v>1958953</v>
      </c>
    </row>
    <row r="25" spans="1:9" ht="12.75" customHeight="1" x14ac:dyDescent="0.2">
      <c r="A25" s="182" t="s">
        <v>186</v>
      </c>
      <c r="B25" s="182"/>
      <c r="C25" s="182"/>
      <c r="D25" s="182"/>
      <c r="E25" s="182"/>
      <c r="F25" s="182"/>
      <c r="G25" s="67">
        <v>18</v>
      </c>
      <c r="H25" s="68">
        <v>-1194339</v>
      </c>
      <c r="I25" s="68">
        <v>-1388684</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-685697</v>
      </c>
      <c r="I27" s="70">
        <f>I24+I25+I26</f>
        <v>570269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29391</v>
      </c>
      <c r="I31" s="71">
        <v>693665</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929879</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29391</v>
      </c>
      <c r="I35" s="72">
        <f>I29+I30+I31+I32+I33+I34</f>
        <v>1623544</v>
      </c>
    </row>
    <row r="36" spans="1:9" ht="22.9" customHeight="1" x14ac:dyDescent="0.2">
      <c r="A36" s="182" t="s">
        <v>197</v>
      </c>
      <c r="B36" s="182"/>
      <c r="C36" s="182"/>
      <c r="D36" s="182"/>
      <c r="E36" s="182"/>
      <c r="F36" s="182"/>
      <c r="G36" s="67">
        <v>28</v>
      </c>
      <c r="H36" s="71">
        <v>-12159653</v>
      </c>
      <c r="I36" s="71">
        <v>-8980132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-6117763</v>
      </c>
      <c r="I38" s="71">
        <v>-2420000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-447548</v>
      </c>
      <c r="I40" s="71">
        <v>-103403</v>
      </c>
    </row>
    <row r="41" spans="1:9" ht="24" customHeight="1" x14ac:dyDescent="0.2">
      <c r="A41" s="239" t="s">
        <v>202</v>
      </c>
      <c r="B41" s="239"/>
      <c r="C41" s="239"/>
      <c r="D41" s="239"/>
      <c r="E41" s="239"/>
      <c r="F41" s="239"/>
      <c r="G41" s="69">
        <v>33</v>
      </c>
      <c r="H41" s="72">
        <f>H36+H37+H38+H39+H40</f>
        <v>-18724964</v>
      </c>
      <c r="I41" s="72">
        <f>I36+I37+I38+I39+I40</f>
        <v>-11503535</v>
      </c>
    </row>
    <row r="42" spans="1:9" ht="29.45" customHeight="1" x14ac:dyDescent="0.2">
      <c r="A42" s="244" t="s">
        <v>203</v>
      </c>
      <c r="B42" s="244"/>
      <c r="C42" s="244"/>
      <c r="D42" s="244"/>
      <c r="E42" s="244"/>
      <c r="F42" s="244"/>
      <c r="G42" s="69">
        <v>34</v>
      </c>
      <c r="H42" s="72">
        <f>H35+H41</f>
        <v>-18695573</v>
      </c>
      <c r="I42" s="72">
        <f>I35+I41</f>
        <v>-9879991</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1751026</v>
      </c>
      <c r="I46" s="71">
        <v>2500000</v>
      </c>
    </row>
    <row r="47" spans="1:9" ht="12.75" customHeight="1" x14ac:dyDescent="0.2">
      <c r="A47" s="182" t="s">
        <v>208</v>
      </c>
      <c r="B47" s="182"/>
      <c r="C47" s="182"/>
      <c r="D47" s="182"/>
      <c r="E47" s="182"/>
      <c r="F47" s="182"/>
      <c r="G47" s="67">
        <v>38</v>
      </c>
      <c r="H47" s="71">
        <v>35227</v>
      </c>
      <c r="I47" s="71">
        <v>81102</v>
      </c>
    </row>
    <row r="48" spans="1:9" ht="22.15" customHeight="1" x14ac:dyDescent="0.2">
      <c r="A48" s="239" t="s">
        <v>209</v>
      </c>
      <c r="B48" s="239"/>
      <c r="C48" s="239"/>
      <c r="D48" s="239"/>
      <c r="E48" s="239"/>
      <c r="F48" s="239"/>
      <c r="G48" s="69">
        <v>39</v>
      </c>
      <c r="H48" s="72">
        <f>H44+H45+H46+H47</f>
        <v>1786253</v>
      </c>
      <c r="I48" s="72">
        <f>I44+I45+I46+I47</f>
        <v>2581102</v>
      </c>
    </row>
    <row r="49" spans="1:9" ht="24.6" customHeight="1" x14ac:dyDescent="0.2">
      <c r="A49" s="182" t="s">
        <v>305</v>
      </c>
      <c r="B49" s="182"/>
      <c r="C49" s="182"/>
      <c r="D49" s="182"/>
      <c r="E49" s="182"/>
      <c r="F49" s="182"/>
      <c r="G49" s="67">
        <v>40</v>
      </c>
      <c r="H49" s="71">
        <v>-3224670</v>
      </c>
      <c r="I49" s="71">
        <v>-9277489</v>
      </c>
    </row>
    <row r="50" spans="1:9" ht="12.75" customHeight="1" x14ac:dyDescent="0.2">
      <c r="A50" s="182" t="s">
        <v>210</v>
      </c>
      <c r="B50" s="182"/>
      <c r="C50" s="182"/>
      <c r="D50" s="182"/>
      <c r="E50" s="182"/>
      <c r="F50" s="182"/>
      <c r="G50" s="67">
        <v>41</v>
      </c>
      <c r="H50" s="71">
        <v>0</v>
      </c>
      <c r="I50" s="71">
        <v>-3536744</v>
      </c>
    </row>
    <row r="51" spans="1:9" ht="12.75" customHeight="1" x14ac:dyDescent="0.2">
      <c r="A51" s="182" t="s">
        <v>211</v>
      </c>
      <c r="B51" s="182"/>
      <c r="C51" s="182"/>
      <c r="D51" s="182"/>
      <c r="E51" s="182"/>
      <c r="F51" s="182"/>
      <c r="G51" s="67">
        <v>42</v>
      </c>
      <c r="H51" s="71">
        <v>0</v>
      </c>
      <c r="I51" s="71">
        <v>-3000</v>
      </c>
    </row>
    <row r="52" spans="1:9" ht="22.9" customHeight="1" x14ac:dyDescent="0.2">
      <c r="A52" s="182" t="s">
        <v>212</v>
      </c>
      <c r="B52" s="182"/>
      <c r="C52" s="182"/>
      <c r="D52" s="182"/>
      <c r="E52" s="182"/>
      <c r="F52" s="182"/>
      <c r="G52" s="67">
        <v>43</v>
      </c>
      <c r="H52" s="71">
        <v>0</v>
      </c>
      <c r="I52" s="71">
        <v>-231127</v>
      </c>
    </row>
    <row r="53" spans="1:9" ht="12.75" customHeight="1" x14ac:dyDescent="0.2">
      <c r="A53" s="182" t="s">
        <v>213</v>
      </c>
      <c r="B53" s="182"/>
      <c r="C53" s="182"/>
      <c r="D53" s="182"/>
      <c r="E53" s="182"/>
      <c r="F53" s="182"/>
      <c r="G53" s="67">
        <v>44</v>
      </c>
      <c r="H53" s="71">
        <v>-3038</v>
      </c>
      <c r="I53" s="71">
        <v>0</v>
      </c>
    </row>
    <row r="54" spans="1:9" ht="30.6" customHeight="1" x14ac:dyDescent="0.2">
      <c r="A54" s="239" t="s">
        <v>214</v>
      </c>
      <c r="B54" s="239"/>
      <c r="C54" s="239"/>
      <c r="D54" s="239"/>
      <c r="E54" s="239"/>
      <c r="F54" s="239"/>
      <c r="G54" s="69">
        <v>45</v>
      </c>
      <c r="H54" s="72">
        <f>H49+H50+H51+H52+H53</f>
        <v>-3227708</v>
      </c>
      <c r="I54" s="72">
        <f>I49+I50+I51+I52+I53</f>
        <v>-13048360</v>
      </c>
    </row>
    <row r="55" spans="1:9" ht="29.45" customHeight="1" x14ac:dyDescent="0.2">
      <c r="A55" s="244" t="s">
        <v>215</v>
      </c>
      <c r="B55" s="244"/>
      <c r="C55" s="244"/>
      <c r="D55" s="244"/>
      <c r="E55" s="244"/>
      <c r="F55" s="244"/>
      <c r="G55" s="69">
        <v>46</v>
      </c>
      <c r="H55" s="72">
        <f>H48+H54</f>
        <v>-1441455</v>
      </c>
      <c r="I55" s="72">
        <f>I48+I54</f>
        <v>-10467258</v>
      </c>
    </row>
    <row r="56" spans="1:9" x14ac:dyDescent="0.2">
      <c r="A56" s="182" t="s">
        <v>216</v>
      </c>
      <c r="B56" s="182"/>
      <c r="C56" s="182"/>
      <c r="D56" s="182"/>
      <c r="E56" s="182"/>
      <c r="F56" s="182"/>
      <c r="G56" s="67">
        <v>47</v>
      </c>
      <c r="H56" s="71">
        <v>-103465</v>
      </c>
      <c r="I56" s="71">
        <v>0</v>
      </c>
    </row>
    <row r="57" spans="1:9" ht="26.45" customHeight="1" x14ac:dyDescent="0.2">
      <c r="A57" s="244" t="s">
        <v>217</v>
      </c>
      <c r="B57" s="244"/>
      <c r="C57" s="244"/>
      <c r="D57" s="244"/>
      <c r="E57" s="244"/>
      <c r="F57" s="244"/>
      <c r="G57" s="69">
        <v>48</v>
      </c>
      <c r="H57" s="72">
        <f>H27+H42+H55+H56</f>
        <v>-20926190</v>
      </c>
      <c r="I57" s="72">
        <f>I27+I42+I55+I56</f>
        <v>-19776980</v>
      </c>
    </row>
    <row r="58" spans="1:9" x14ac:dyDescent="0.2">
      <c r="A58" s="245" t="s">
        <v>218</v>
      </c>
      <c r="B58" s="245"/>
      <c r="C58" s="245"/>
      <c r="D58" s="245"/>
      <c r="E58" s="245"/>
      <c r="F58" s="245"/>
      <c r="G58" s="67">
        <v>49</v>
      </c>
      <c r="H58" s="71">
        <v>37978533</v>
      </c>
      <c r="I58" s="71">
        <v>55582810</v>
      </c>
    </row>
    <row r="59" spans="1:9" ht="31.15" customHeight="1" x14ac:dyDescent="0.2">
      <c r="A59" s="244" t="s">
        <v>219</v>
      </c>
      <c r="B59" s="244"/>
      <c r="C59" s="244"/>
      <c r="D59" s="244"/>
      <c r="E59" s="244"/>
      <c r="F59" s="244"/>
      <c r="G59" s="69">
        <v>50</v>
      </c>
      <c r="H59" s="72">
        <f>H57+H58</f>
        <v>17052343</v>
      </c>
      <c r="I59" s="72">
        <f>I57+I58</f>
        <v>35805830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463</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458</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zoomScale="80" zoomScaleNormal="100" zoomScaleSheetLayoutView="80" workbookViewId="0">
      <selection activeCell="J8" sqref="J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45107</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13645343</v>
      </c>
      <c r="I7" s="33">
        <v>152017502</v>
      </c>
      <c r="J7" s="33">
        <v>682267</v>
      </c>
      <c r="K7" s="33">
        <v>2244377</v>
      </c>
      <c r="L7" s="33">
        <v>2244377</v>
      </c>
      <c r="M7" s="33">
        <v>0</v>
      </c>
      <c r="N7" s="33">
        <v>73670413</v>
      </c>
      <c r="O7" s="33">
        <v>0</v>
      </c>
      <c r="P7" s="33">
        <v>14275</v>
      </c>
      <c r="Q7" s="33">
        <v>0</v>
      </c>
      <c r="R7" s="33">
        <v>0</v>
      </c>
      <c r="S7" s="33">
        <v>0</v>
      </c>
      <c r="T7" s="33">
        <v>0</v>
      </c>
      <c r="U7" s="33">
        <v>17037369</v>
      </c>
      <c r="V7" s="33">
        <v>6068415</v>
      </c>
      <c r="W7" s="34">
        <f>H7+I7+J7+K7-L7+M7+N7+O7+P7+Q7+R7+U7+V7+S7+T7</f>
        <v>263135584</v>
      </c>
      <c r="X7" s="33">
        <v>0</v>
      </c>
      <c r="Y7" s="34">
        <f>W7+X7</f>
        <v>263135584</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13645343</v>
      </c>
      <c r="I10" s="34">
        <f t="shared" ref="I10:Y10" si="2">I7+I8+I9</f>
        <v>152017502</v>
      </c>
      <c r="J10" s="34">
        <f t="shared" si="2"/>
        <v>682267</v>
      </c>
      <c r="K10" s="34">
        <f>K7+K8+K9</f>
        <v>2244377</v>
      </c>
      <c r="L10" s="34">
        <f t="shared" si="2"/>
        <v>2244377</v>
      </c>
      <c r="M10" s="34">
        <f t="shared" si="2"/>
        <v>0</v>
      </c>
      <c r="N10" s="34">
        <f t="shared" si="2"/>
        <v>73670413</v>
      </c>
      <c r="O10" s="34">
        <f t="shared" si="2"/>
        <v>0</v>
      </c>
      <c r="P10" s="34">
        <f t="shared" si="2"/>
        <v>14275</v>
      </c>
      <c r="Q10" s="34">
        <f t="shared" si="2"/>
        <v>0</v>
      </c>
      <c r="R10" s="34">
        <f t="shared" si="2"/>
        <v>0</v>
      </c>
      <c r="S10" s="34">
        <f t="shared" si="2"/>
        <v>0</v>
      </c>
      <c r="T10" s="34">
        <f t="shared" si="2"/>
        <v>0</v>
      </c>
      <c r="U10" s="34">
        <f t="shared" si="2"/>
        <v>17037369</v>
      </c>
      <c r="V10" s="34">
        <f t="shared" si="2"/>
        <v>6068415</v>
      </c>
      <c r="W10" s="34">
        <f t="shared" si="2"/>
        <v>263135584</v>
      </c>
      <c r="X10" s="34">
        <f t="shared" si="2"/>
        <v>0</v>
      </c>
      <c r="Y10" s="34">
        <f t="shared" si="2"/>
        <v>263135584</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7038434</v>
      </c>
      <c r="W11" s="34">
        <f t="shared" ref="W11:W29" si="3">H11+I11+J11+K11-L11+M11+N11+O11+P11+Q11+R11+U11+V11+S11+T11</f>
        <v>7038434</v>
      </c>
      <c r="X11" s="33">
        <v>0</v>
      </c>
      <c r="Y11" s="34">
        <f t="shared" ref="Y11:Y29" si="4">W11+X11</f>
        <v>7038434</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-14240</v>
      </c>
      <c r="Q14" s="35">
        <v>0</v>
      </c>
      <c r="R14" s="35">
        <v>0</v>
      </c>
      <c r="S14" s="33">
        <v>0</v>
      </c>
      <c r="T14" s="33">
        <v>0</v>
      </c>
      <c r="U14" s="33">
        <v>0</v>
      </c>
      <c r="V14" s="33">
        <v>0</v>
      </c>
      <c r="W14" s="34">
        <f t="shared" si="3"/>
        <v>-14240</v>
      </c>
      <c r="X14" s="33">
        <v>0</v>
      </c>
      <c r="Y14" s="34">
        <f t="shared" si="4"/>
        <v>-14240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-31378</v>
      </c>
      <c r="I19" s="33">
        <v>-349573</v>
      </c>
      <c r="J19" s="33">
        <v>-1569</v>
      </c>
      <c r="K19" s="33">
        <v>-5008</v>
      </c>
      <c r="L19" s="33">
        <v>-5008</v>
      </c>
      <c r="M19" s="33">
        <v>0</v>
      </c>
      <c r="N19" s="33">
        <v>-169520</v>
      </c>
      <c r="O19" s="33">
        <v>0</v>
      </c>
      <c r="P19" s="33">
        <v>-35</v>
      </c>
      <c r="Q19" s="33">
        <v>0</v>
      </c>
      <c r="R19" s="33">
        <v>0</v>
      </c>
      <c r="S19" s="33">
        <v>0</v>
      </c>
      <c r="T19" s="33">
        <v>0</v>
      </c>
      <c r="U19" s="33">
        <f>-53133-13</f>
        <v>-53146</v>
      </c>
      <c r="V19" s="33">
        <f>1360+13</f>
        <v>1373</v>
      </c>
      <c r="W19" s="34">
        <f t="shared" si="3"/>
        <v>-603848</v>
      </c>
      <c r="X19" s="33">
        <v>0</v>
      </c>
      <c r="Y19" s="34">
        <f t="shared" si="4"/>
        <v>-603848</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787383</v>
      </c>
      <c r="L24" s="33">
        <v>787383</v>
      </c>
      <c r="M24" s="33">
        <v>0</v>
      </c>
      <c r="N24" s="33">
        <v>-787383</v>
      </c>
      <c r="O24" s="33">
        <v>0</v>
      </c>
      <c r="P24" s="33">
        <v>0</v>
      </c>
      <c r="Q24" s="33">
        <v>0</v>
      </c>
      <c r="R24" s="33">
        <v>0</v>
      </c>
      <c r="S24" s="33">
        <v>0</v>
      </c>
      <c r="T24" s="33">
        <v>0</v>
      </c>
      <c r="U24" s="33">
        <v>0</v>
      </c>
      <c r="V24" s="33">
        <v>0</v>
      </c>
      <c r="W24" s="34">
        <f t="shared" si="3"/>
        <v>-787383</v>
      </c>
      <c r="X24" s="33">
        <v>0</v>
      </c>
      <c r="Y24" s="34">
        <f t="shared" si="4"/>
        <v>-787383</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215415</v>
      </c>
      <c r="O27" s="33">
        <v>0</v>
      </c>
      <c r="P27" s="33">
        <v>0</v>
      </c>
      <c r="Q27" s="33">
        <v>0</v>
      </c>
      <c r="R27" s="33">
        <v>0</v>
      </c>
      <c r="S27" s="33">
        <v>0</v>
      </c>
      <c r="T27" s="33">
        <v>0</v>
      </c>
      <c r="U27" s="33">
        <v>0</v>
      </c>
      <c r="V27" s="33">
        <v>0</v>
      </c>
      <c r="W27" s="34">
        <f t="shared" si="3"/>
        <v>215415</v>
      </c>
      <c r="X27" s="33">
        <v>0</v>
      </c>
      <c r="Y27" s="34">
        <f t="shared" si="4"/>
        <v>215415</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6068428</v>
      </c>
      <c r="V28" s="33">
        <v>-6068428</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13613965</v>
      </c>
      <c r="I30" s="36">
        <f t="shared" ref="I30:Y30" si="5">SUM(I10:I29)</f>
        <v>151667929</v>
      </c>
      <c r="J30" s="36">
        <f t="shared" si="5"/>
        <v>680698</v>
      </c>
      <c r="K30" s="36">
        <f t="shared" si="5"/>
        <v>3026752</v>
      </c>
      <c r="L30" s="36">
        <f t="shared" si="5"/>
        <v>3026752</v>
      </c>
      <c r="M30" s="36">
        <f t="shared" si="5"/>
        <v>0</v>
      </c>
      <c r="N30" s="36">
        <f t="shared" si="5"/>
        <v>72928925</v>
      </c>
      <c r="O30" s="36">
        <f t="shared" si="5"/>
        <v>0</v>
      </c>
      <c r="P30" s="36">
        <f t="shared" si="5"/>
        <v>0</v>
      </c>
      <c r="Q30" s="36">
        <f t="shared" si="5"/>
        <v>0</v>
      </c>
      <c r="R30" s="36">
        <f t="shared" si="5"/>
        <v>0</v>
      </c>
      <c r="S30" s="36">
        <f t="shared" si="5"/>
        <v>0</v>
      </c>
      <c r="T30" s="36">
        <f t="shared" si="5"/>
        <v>0</v>
      </c>
      <c r="U30" s="36">
        <f t="shared" si="5"/>
        <v>23052651</v>
      </c>
      <c r="V30" s="36">
        <f t="shared" si="5"/>
        <v>7039794</v>
      </c>
      <c r="W30" s="36">
        <f t="shared" si="5"/>
        <v>268983962</v>
      </c>
      <c r="X30" s="36">
        <f t="shared" si="5"/>
        <v>0</v>
      </c>
      <c r="Y30" s="36">
        <f t="shared" si="5"/>
        <v>268983962</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-31378</v>
      </c>
      <c r="I32" s="34">
        <f t="shared" ref="I32:Y32" si="6">SUM(I12:I20)</f>
        <v>-349573</v>
      </c>
      <c r="J32" s="34">
        <f t="shared" si="6"/>
        <v>-1569</v>
      </c>
      <c r="K32" s="34">
        <f t="shared" si="6"/>
        <v>-5008</v>
      </c>
      <c r="L32" s="34">
        <f t="shared" si="6"/>
        <v>-5008</v>
      </c>
      <c r="M32" s="34">
        <f t="shared" si="6"/>
        <v>0</v>
      </c>
      <c r="N32" s="34">
        <f t="shared" si="6"/>
        <v>-169520</v>
      </c>
      <c r="O32" s="34">
        <f t="shared" si="6"/>
        <v>0</v>
      </c>
      <c r="P32" s="34">
        <f t="shared" si="6"/>
        <v>-14275</v>
      </c>
      <c r="Q32" s="34">
        <f t="shared" si="6"/>
        <v>0</v>
      </c>
      <c r="R32" s="34">
        <f t="shared" si="6"/>
        <v>0</v>
      </c>
      <c r="S32" s="34">
        <f t="shared" ref="S32:T32" si="7">SUM(S12:S20)</f>
        <v>0</v>
      </c>
      <c r="T32" s="34">
        <f t="shared" si="7"/>
        <v>0</v>
      </c>
      <c r="U32" s="34">
        <f t="shared" si="6"/>
        <v>-53146</v>
      </c>
      <c r="V32" s="34">
        <f t="shared" si="6"/>
        <v>1373</v>
      </c>
      <c r="W32" s="34">
        <f t="shared" si="6"/>
        <v>-618088</v>
      </c>
      <c r="X32" s="34">
        <f t="shared" si="6"/>
        <v>0</v>
      </c>
      <c r="Y32" s="34">
        <f t="shared" si="6"/>
        <v>-618088</v>
      </c>
    </row>
    <row r="33" spans="1:25" ht="31.5" customHeight="1" x14ac:dyDescent="0.2">
      <c r="A33" s="291" t="s">
        <v>426</v>
      </c>
      <c r="B33" s="291"/>
      <c r="C33" s="291"/>
      <c r="D33" s="291"/>
      <c r="E33" s="291"/>
      <c r="F33" s="291"/>
      <c r="G33" s="7">
        <v>26</v>
      </c>
      <c r="H33" s="34">
        <f>H11+H32</f>
        <v>-31378</v>
      </c>
      <c r="I33" s="34">
        <f t="shared" ref="I33:Y33" si="8">I11+I32</f>
        <v>-349573</v>
      </c>
      <c r="J33" s="34">
        <f t="shared" si="8"/>
        <v>-1569</v>
      </c>
      <c r="K33" s="34">
        <f t="shared" si="8"/>
        <v>-5008</v>
      </c>
      <c r="L33" s="34">
        <f t="shared" si="8"/>
        <v>-5008</v>
      </c>
      <c r="M33" s="34">
        <f t="shared" si="8"/>
        <v>0</v>
      </c>
      <c r="N33" s="34">
        <f t="shared" si="8"/>
        <v>-169520</v>
      </c>
      <c r="O33" s="34">
        <f t="shared" si="8"/>
        <v>0</v>
      </c>
      <c r="P33" s="34">
        <f t="shared" si="8"/>
        <v>-14275</v>
      </c>
      <c r="Q33" s="34">
        <f t="shared" si="8"/>
        <v>0</v>
      </c>
      <c r="R33" s="34">
        <f t="shared" si="8"/>
        <v>0</v>
      </c>
      <c r="S33" s="34">
        <f t="shared" ref="S33:T33" si="9">S11+S32</f>
        <v>0</v>
      </c>
      <c r="T33" s="34">
        <f t="shared" si="9"/>
        <v>0</v>
      </c>
      <c r="U33" s="34">
        <f t="shared" si="8"/>
        <v>-53146</v>
      </c>
      <c r="V33" s="34">
        <f t="shared" si="8"/>
        <v>7039807</v>
      </c>
      <c r="W33" s="34">
        <f t="shared" si="8"/>
        <v>6420346</v>
      </c>
      <c r="X33" s="34">
        <f t="shared" si="8"/>
        <v>0</v>
      </c>
      <c r="Y33" s="34">
        <f t="shared" si="8"/>
        <v>6420346</v>
      </c>
    </row>
    <row r="34" spans="1:25" ht="30.75" customHeight="1" x14ac:dyDescent="0.2">
      <c r="A34" s="292" t="s">
        <v>427</v>
      </c>
      <c r="B34" s="292"/>
      <c r="C34" s="292"/>
      <c r="D34" s="292"/>
      <c r="E34" s="292"/>
      <c r="F34" s="292"/>
      <c r="G34" s="8">
        <v>27</v>
      </c>
      <c r="H34" s="36">
        <f>SUM(H21:H29)</f>
        <v>0</v>
      </c>
      <c r="I34" s="36">
        <f t="shared" ref="I34:Y34" si="10">SUM(I21:I29)</f>
        <v>0</v>
      </c>
      <c r="J34" s="36">
        <f t="shared" si="10"/>
        <v>0</v>
      </c>
      <c r="K34" s="36">
        <f t="shared" si="10"/>
        <v>787383</v>
      </c>
      <c r="L34" s="36">
        <f t="shared" si="10"/>
        <v>787383</v>
      </c>
      <c r="M34" s="36">
        <f t="shared" si="10"/>
        <v>0</v>
      </c>
      <c r="N34" s="36">
        <f t="shared" si="10"/>
        <v>-571968</v>
      </c>
      <c r="O34" s="36">
        <f t="shared" si="10"/>
        <v>0</v>
      </c>
      <c r="P34" s="36">
        <f t="shared" si="10"/>
        <v>0</v>
      </c>
      <c r="Q34" s="36">
        <f t="shared" si="10"/>
        <v>0</v>
      </c>
      <c r="R34" s="36">
        <f t="shared" si="10"/>
        <v>0</v>
      </c>
      <c r="S34" s="36">
        <f t="shared" ref="S34:T34" si="11">SUM(S21:S29)</f>
        <v>0</v>
      </c>
      <c r="T34" s="36">
        <f t="shared" si="11"/>
        <v>0</v>
      </c>
      <c r="U34" s="36">
        <f t="shared" si="10"/>
        <v>6068428</v>
      </c>
      <c r="V34" s="36">
        <f t="shared" si="10"/>
        <v>-6068428</v>
      </c>
      <c r="W34" s="36">
        <f t="shared" si="10"/>
        <v>-571968</v>
      </c>
      <c r="X34" s="36">
        <f t="shared" si="10"/>
        <v>0</v>
      </c>
      <c r="Y34" s="36">
        <f t="shared" si="10"/>
        <v>-571968</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+H30</f>
        <v>13613965</v>
      </c>
      <c r="I36" s="33">
        <f t="shared" ref="I36:V36" si="12">+I30</f>
        <v>151667929</v>
      </c>
      <c r="J36" s="33">
        <f t="shared" si="12"/>
        <v>680698</v>
      </c>
      <c r="K36" s="33">
        <f t="shared" si="12"/>
        <v>3026752</v>
      </c>
      <c r="L36" s="33">
        <f t="shared" si="12"/>
        <v>3026752</v>
      </c>
      <c r="M36" s="33">
        <f t="shared" si="12"/>
        <v>0</v>
      </c>
      <c r="N36" s="33">
        <f t="shared" si="12"/>
        <v>72928925</v>
      </c>
      <c r="O36" s="33">
        <f t="shared" si="12"/>
        <v>0</v>
      </c>
      <c r="P36" s="33">
        <f t="shared" si="12"/>
        <v>0</v>
      </c>
      <c r="Q36" s="33">
        <f t="shared" si="12"/>
        <v>0</v>
      </c>
      <c r="R36" s="33">
        <f t="shared" si="12"/>
        <v>0</v>
      </c>
      <c r="S36" s="33">
        <f t="shared" si="12"/>
        <v>0</v>
      </c>
      <c r="T36" s="33">
        <f t="shared" si="12"/>
        <v>0</v>
      </c>
      <c r="U36" s="33">
        <f t="shared" si="12"/>
        <v>23052651</v>
      </c>
      <c r="V36" s="33">
        <f t="shared" si="12"/>
        <v>7039794</v>
      </c>
      <c r="W36" s="37">
        <f>H36+I36+J36+K36-L36+M36+N36+O36+P36+Q36+R36+U36+V36+S36+T36</f>
        <v>268983962</v>
      </c>
      <c r="X36" s="33">
        <v>0</v>
      </c>
      <c r="Y36" s="37">
        <f t="shared" ref="Y36:Y38" si="13">W36+X36</f>
        <v>268983962</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1" t="s">
        <v>428</v>
      </c>
      <c r="B39" s="271"/>
      <c r="C39" s="271"/>
      <c r="D39" s="271"/>
      <c r="E39" s="271"/>
      <c r="F39" s="271"/>
      <c r="G39" s="7">
        <v>31</v>
      </c>
      <c r="H39" s="34">
        <f>H36+H37+H38</f>
        <v>13613965</v>
      </c>
      <c r="I39" s="34">
        <f t="shared" ref="I39:Y39" si="15">I36+I37+I38</f>
        <v>151667929</v>
      </c>
      <c r="J39" s="34">
        <f t="shared" si="15"/>
        <v>680698</v>
      </c>
      <c r="K39" s="34">
        <f t="shared" si="15"/>
        <v>3026752</v>
      </c>
      <c r="L39" s="34">
        <f t="shared" si="15"/>
        <v>3026752</v>
      </c>
      <c r="M39" s="34">
        <f t="shared" si="15"/>
        <v>0</v>
      </c>
      <c r="N39" s="34">
        <f t="shared" si="15"/>
        <v>72928925</v>
      </c>
      <c r="O39" s="34">
        <f t="shared" si="15"/>
        <v>0</v>
      </c>
      <c r="P39" s="34">
        <f t="shared" si="15"/>
        <v>0</v>
      </c>
      <c r="Q39" s="34">
        <f t="shared" si="15"/>
        <v>0</v>
      </c>
      <c r="R39" s="34">
        <f t="shared" si="15"/>
        <v>0</v>
      </c>
      <c r="S39" s="34">
        <f t="shared" si="15"/>
        <v>0</v>
      </c>
      <c r="T39" s="34">
        <f t="shared" si="15"/>
        <v>0</v>
      </c>
      <c r="U39" s="34">
        <f t="shared" si="15"/>
        <v>23052651</v>
      </c>
      <c r="V39" s="34">
        <f t="shared" si="15"/>
        <v>7039794</v>
      </c>
      <c r="W39" s="34">
        <f t="shared" si="15"/>
        <v>268983962</v>
      </c>
      <c r="X39" s="34">
        <f t="shared" si="15"/>
        <v>0</v>
      </c>
      <c r="Y39" s="34">
        <f t="shared" si="15"/>
        <v>268983962</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-8588597</v>
      </c>
      <c r="W40" s="37">
        <f t="shared" ref="W40:W58" si="16">H40+I40+J40+K40-L40+M40+N40+O40+P40+Q40+R40+U40+V40+S40+T40</f>
        <v>-8588597</v>
      </c>
      <c r="X40" s="33">
        <v>0</v>
      </c>
      <c r="Y40" s="37">
        <f t="shared" ref="Y40:Y58" si="17">W40+X40</f>
        <v>-8588597</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231127</v>
      </c>
      <c r="L53" s="33">
        <v>231127</v>
      </c>
      <c r="M53" s="33">
        <v>0</v>
      </c>
      <c r="N53" s="33">
        <v>-231127</v>
      </c>
      <c r="O53" s="33">
        <v>0</v>
      </c>
      <c r="P53" s="33">
        <v>0</v>
      </c>
      <c r="Q53" s="33">
        <v>0</v>
      </c>
      <c r="R53" s="33">
        <v>0</v>
      </c>
      <c r="S53" s="33">
        <v>0</v>
      </c>
      <c r="T53" s="33">
        <v>0</v>
      </c>
      <c r="U53" s="33">
        <v>0</v>
      </c>
      <c r="V53" s="33">
        <v>0</v>
      </c>
      <c r="W53" s="37">
        <f t="shared" si="16"/>
        <v>-231127</v>
      </c>
      <c r="X53" s="33">
        <v>0</v>
      </c>
      <c r="Y53" s="37">
        <f t="shared" si="17"/>
        <v>-231127</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-3536744</v>
      </c>
      <c r="V55" s="33">
        <v>0</v>
      </c>
      <c r="W55" s="37">
        <f t="shared" si="16"/>
        <v>-3536744</v>
      </c>
      <c r="X55" s="33">
        <v>0</v>
      </c>
      <c r="Y55" s="37">
        <f t="shared" si="17"/>
        <v>-3536744</v>
      </c>
    </row>
    <row r="56" spans="1:25" ht="12.75" customHeight="1" x14ac:dyDescent="0.2">
      <c r="A56" s="270" t="s">
        <v>422</v>
      </c>
      <c r="B56" s="270"/>
      <c r="C56" s="270"/>
      <c r="D56" s="270"/>
      <c r="E56" s="270"/>
      <c r="F56" s="270"/>
      <c r="G56" s="6">
        <v>48</v>
      </c>
      <c r="H56" s="33">
        <v>0</v>
      </c>
      <c r="I56" s="33">
        <v>0</v>
      </c>
      <c r="J56" s="33">
        <v>0</v>
      </c>
      <c r="K56" s="33">
        <v>0</v>
      </c>
      <c r="L56" s="33">
        <v>0</v>
      </c>
      <c r="M56" s="33">
        <v>0</v>
      </c>
      <c r="N56" s="33">
        <v>107545</v>
      </c>
      <c r="O56" s="33">
        <v>0</v>
      </c>
      <c r="P56" s="33">
        <v>0</v>
      </c>
      <c r="Q56" s="33">
        <v>0</v>
      </c>
      <c r="R56" s="33">
        <v>0</v>
      </c>
      <c r="S56" s="33">
        <v>0</v>
      </c>
      <c r="T56" s="33">
        <v>0</v>
      </c>
      <c r="U56" s="33">
        <v>0</v>
      </c>
      <c r="V56" s="33">
        <v>0</v>
      </c>
      <c r="W56" s="37">
        <f t="shared" si="16"/>
        <v>107545</v>
      </c>
      <c r="X56" s="33">
        <v>0</v>
      </c>
      <c r="Y56" s="37">
        <f t="shared" si="17"/>
        <v>107545</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f>
        <v>7039794</v>
      </c>
      <c r="V57" s="33">
        <f>-V36</f>
        <v>-7039794</v>
      </c>
      <c r="W57" s="37">
        <f t="shared" si="16"/>
        <v>0</v>
      </c>
      <c r="X57" s="33">
        <v>0</v>
      </c>
      <c r="Y57" s="37">
        <f t="shared" si="17"/>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8" t="s">
        <v>431</v>
      </c>
      <c r="B59" s="288"/>
      <c r="C59" s="288"/>
      <c r="D59" s="288"/>
      <c r="E59" s="288"/>
      <c r="F59" s="288"/>
      <c r="G59" s="8">
        <v>51</v>
      </c>
      <c r="H59" s="36">
        <f>SUM(H39:H58)</f>
        <v>13613965</v>
      </c>
      <c r="I59" s="36">
        <f t="shared" ref="I59:Y59" si="18">SUM(I39:I58)</f>
        <v>151667929</v>
      </c>
      <c r="J59" s="36">
        <f t="shared" si="18"/>
        <v>680698</v>
      </c>
      <c r="K59" s="36">
        <f t="shared" si="18"/>
        <v>3257879</v>
      </c>
      <c r="L59" s="36">
        <f t="shared" si="18"/>
        <v>3257879</v>
      </c>
      <c r="M59" s="36">
        <f t="shared" si="18"/>
        <v>0</v>
      </c>
      <c r="N59" s="36">
        <f t="shared" si="18"/>
        <v>72805343</v>
      </c>
      <c r="O59" s="36">
        <f t="shared" si="18"/>
        <v>0</v>
      </c>
      <c r="P59" s="36">
        <f t="shared" si="18"/>
        <v>0</v>
      </c>
      <c r="Q59" s="36">
        <f t="shared" si="18"/>
        <v>0</v>
      </c>
      <c r="R59" s="36">
        <f t="shared" si="18"/>
        <v>0</v>
      </c>
      <c r="S59" s="36">
        <f t="shared" si="18"/>
        <v>0</v>
      </c>
      <c r="T59" s="36">
        <f t="shared" si="18"/>
        <v>0</v>
      </c>
      <c r="U59" s="36">
        <f t="shared" si="18"/>
        <v>26555701</v>
      </c>
      <c r="V59" s="36">
        <f t="shared" si="18"/>
        <v>-8588597</v>
      </c>
      <c r="W59" s="36">
        <f t="shared" si="18"/>
        <v>256735039</v>
      </c>
      <c r="X59" s="36">
        <f t="shared" si="18"/>
        <v>0</v>
      </c>
      <c r="Y59" s="36">
        <f t="shared" si="18"/>
        <v>256735039</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-8588597</v>
      </c>
      <c r="W62" s="37">
        <f t="shared" si="21"/>
        <v>-8588597</v>
      </c>
      <c r="X62" s="37">
        <f t="shared" si="21"/>
        <v>0</v>
      </c>
      <c r="Y62" s="37">
        <f t="shared" si="21"/>
        <v>-8588597</v>
      </c>
    </row>
    <row r="63" spans="1:25" ht="29.25" customHeight="1" x14ac:dyDescent="0.2">
      <c r="A63" s="292" t="s">
        <v>434</v>
      </c>
      <c r="B63" s="292"/>
      <c r="C63" s="292"/>
      <c r="D63" s="292"/>
      <c r="E63" s="292"/>
      <c r="F63" s="292"/>
      <c r="G63" s="8">
        <v>54</v>
      </c>
      <c r="H63" s="38">
        <f>SUM(H50:H58)</f>
        <v>0</v>
      </c>
      <c r="I63" s="38">
        <f t="shared" ref="I63:Y63" si="23">SUM(I50:I58)</f>
        <v>0</v>
      </c>
      <c r="J63" s="38">
        <f t="shared" si="23"/>
        <v>0</v>
      </c>
      <c r="K63" s="38">
        <f t="shared" si="23"/>
        <v>231127</v>
      </c>
      <c r="L63" s="38">
        <f t="shared" si="23"/>
        <v>231127</v>
      </c>
      <c r="M63" s="38">
        <f t="shared" si="23"/>
        <v>0</v>
      </c>
      <c r="N63" s="38">
        <f t="shared" si="23"/>
        <v>-123582</v>
      </c>
      <c r="O63" s="38">
        <f t="shared" si="23"/>
        <v>0</v>
      </c>
      <c r="P63" s="38">
        <f t="shared" si="23"/>
        <v>0</v>
      </c>
      <c r="Q63" s="38">
        <f t="shared" si="23"/>
        <v>0</v>
      </c>
      <c r="R63" s="38">
        <f t="shared" si="23"/>
        <v>0</v>
      </c>
      <c r="S63" s="38">
        <f t="shared" ref="S63:T63" si="24">SUM(S50:S58)</f>
        <v>0</v>
      </c>
      <c r="T63" s="38">
        <f t="shared" si="24"/>
        <v>0</v>
      </c>
      <c r="U63" s="38">
        <f t="shared" si="23"/>
        <v>3503050</v>
      </c>
      <c r="V63" s="38">
        <f t="shared" si="23"/>
        <v>-7039794</v>
      </c>
      <c r="W63" s="38">
        <f t="shared" si="23"/>
        <v>-3660326</v>
      </c>
      <c r="X63" s="38">
        <f t="shared" si="23"/>
        <v>0</v>
      </c>
      <c r="Y63" s="38">
        <f t="shared" si="23"/>
        <v>-3660326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showGridLines="0" zoomScale="115" zoomScaleNormal="115" zoomScaleSheetLayoutView="100" workbookViewId="0">
      <selection activeCell="J8" sqref="J8"/>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71.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2023-07-26T07:13:15Z</cp:lastPrinted>
  <dcterms:created xsi:type="dcterms:W3CDTF">2008-10-17T11:51:54Z</dcterms:created>
  <dcterms:modified xsi:type="dcterms:W3CDTF">2023-07-26T07:15:17Z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