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lenachr-my.sharepoint.com/personal/divnap_lenac_hr/Documents/Documents/HANFA-FINA/2023/"/>
    </mc:Choice>
  </mc:AlternateContent>
  <xr:revisionPtr revIDLastSave="185" documentId="8_{DBED1E8A-CEBC-4168-9AFA-91166B8EE56D}" xr6:coauthVersionLast="47" xr6:coauthVersionMax="47" xr10:uidLastSave="{F3A501E4-660B-4950-9AE0-A8E41652DDAC}"/>
  <bookViews>
    <workbookView xWindow="-120" yWindow="-120" windowWidth="29040" windowHeight="176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9" i="26" l="1"/>
  <c r="J89" i="26"/>
  <c r="K89" i="26"/>
  <c r="I89" i="26"/>
  <c r="H8" i="20" l="1"/>
  <c r="H58" i="20" l="1"/>
  <c r="H49" i="20"/>
  <c r="H36" i="20"/>
  <c r="H32" i="20"/>
  <c r="H29" i="20"/>
  <c r="H26" i="20"/>
  <c r="H25" i="20"/>
  <c r="H22" i="20"/>
  <c r="H21" i="20"/>
  <c r="H20" i="20"/>
  <c r="H17" i="20"/>
  <c r="H16" i="20"/>
  <c r="H15" i="20"/>
  <c r="H14" i="20"/>
  <c r="H13" i="20"/>
  <c r="H12" i="20"/>
  <c r="H11" i="20"/>
  <c r="H10" i="20"/>
  <c r="H13" i="26"/>
  <c r="I13" i="26" s="1"/>
  <c r="I11" i="26"/>
  <c r="I9" i="26"/>
  <c r="K9" i="26" l="1"/>
  <c r="K10" i="26"/>
  <c r="K11" i="26"/>
  <c r="K12" i="26"/>
  <c r="K13" i="26"/>
  <c r="K17" i="26"/>
  <c r="K19" i="26"/>
  <c r="K21" i="26"/>
  <c r="K22" i="26"/>
  <c r="K23" i="26"/>
  <c r="K24" i="26"/>
  <c r="K25" i="26"/>
  <c r="K36" i="26"/>
  <c r="K44" i="26"/>
  <c r="K45" i="26"/>
  <c r="K51" i="26"/>
  <c r="K52" i="26"/>
  <c r="K65" i="26"/>
  <c r="I65" i="26"/>
  <c r="I51" i="26"/>
  <c r="I47" i="26"/>
  <c r="I45" i="26"/>
  <c r="I44" i="26"/>
  <c r="I36" i="26"/>
  <c r="I32" i="26"/>
  <c r="I25" i="26"/>
  <c r="I24" i="26"/>
  <c r="I23" i="26"/>
  <c r="I22" i="26"/>
  <c r="I21" i="26"/>
  <c r="I19" i="26"/>
  <c r="I17" i="26"/>
  <c r="I12" i="26"/>
  <c r="I10" i="26"/>
  <c r="K47" i="26" l="1"/>
  <c r="V57" i="22"/>
  <c r="K32" i="26" l="1"/>
  <c r="V48" i="22"/>
  <c r="X36" i="22" l="1"/>
  <c r="I107" i="26" l="1"/>
  <c r="I106" i="26"/>
  <c r="I105" i="26"/>
  <c r="I104" i="26"/>
  <c r="I103" i="26"/>
  <c r="I102" i="26"/>
  <c r="I101" i="26"/>
  <c r="I100" i="26"/>
  <c r="I99" i="26"/>
  <c r="I97" i="26"/>
  <c r="I96" i="26"/>
  <c r="I95" i="26"/>
  <c r="I94" i="26"/>
  <c r="I93" i="26"/>
  <c r="I92" i="26"/>
  <c r="I87" i="26"/>
  <c r="I86" i="26"/>
  <c r="I79" i="26"/>
  <c r="I78" i="26"/>
  <c r="I73" i="26"/>
  <c r="I72" i="26"/>
  <c r="I71" i="26"/>
  <c r="I59" i="26"/>
  <c r="I58" i="26"/>
  <c r="I57" i="26"/>
  <c r="I56" i="26"/>
  <c r="I55" i="26"/>
  <c r="I54" i="26"/>
  <c r="I53" i="26"/>
  <c r="I52" i="26"/>
  <c r="I50" i="26"/>
  <c r="I49" i="26"/>
  <c r="I46" i="26"/>
  <c r="I43" i="26"/>
  <c r="I42" i="26"/>
  <c r="I41" i="26"/>
  <c r="I40" i="26"/>
  <c r="I39" i="26"/>
  <c r="I38" i="26"/>
  <c r="I35" i="26"/>
  <c r="I34" i="26"/>
  <c r="I33" i="26"/>
  <c r="I31" i="26"/>
  <c r="I30" i="26"/>
  <c r="I28" i="26"/>
  <c r="I27" i="26"/>
  <c r="I18" i="26"/>
  <c r="I15" i="26"/>
  <c r="K107" i="26"/>
  <c r="K106" i="26"/>
  <c r="K105" i="26"/>
  <c r="K104" i="26"/>
  <c r="K103" i="26"/>
  <c r="K102" i="26"/>
  <c r="K101" i="26"/>
  <c r="K100" i="26"/>
  <c r="K99" i="26"/>
  <c r="K97" i="26"/>
  <c r="K96" i="26"/>
  <c r="K95" i="26"/>
  <c r="K94" i="26"/>
  <c r="K93" i="26"/>
  <c r="K92" i="26"/>
  <c r="K87" i="26"/>
  <c r="K86" i="26"/>
  <c r="K79" i="26"/>
  <c r="K78" i="26"/>
  <c r="K73" i="26"/>
  <c r="K72" i="26"/>
  <c r="K71" i="26"/>
  <c r="K59" i="26"/>
  <c r="K58" i="26"/>
  <c r="K57" i="26"/>
  <c r="K56" i="26"/>
  <c r="K55" i="26"/>
  <c r="K54" i="26"/>
  <c r="K53" i="26"/>
  <c r="K50" i="26"/>
  <c r="K49" i="26"/>
  <c r="K46" i="26"/>
  <c r="K43" i="26"/>
  <c r="K42" i="26"/>
  <c r="K41" i="26"/>
  <c r="K40" i="26"/>
  <c r="K39" i="26"/>
  <c r="K38" i="26"/>
  <c r="K35" i="26"/>
  <c r="K34" i="26"/>
  <c r="K33" i="26"/>
  <c r="K31" i="26"/>
  <c r="K30" i="26"/>
  <c r="K28" i="26"/>
  <c r="K27" i="26"/>
  <c r="K18" i="26"/>
  <c r="K15"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K109" i="26" l="1"/>
  <c r="J109" i="26"/>
  <c r="I67" i="26"/>
  <c r="I68" i="26"/>
  <c r="J66" i="26"/>
  <c r="J68" i="26"/>
  <c r="K67" i="26"/>
  <c r="K68" i="26"/>
  <c r="H66" i="26"/>
  <c r="H67" i="26"/>
  <c r="I85" i="18"/>
  <c r="H85" i="18"/>
  <c r="I109" i="26" l="1"/>
  <c r="H109" i="26"/>
  <c r="I78" i="18"/>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134"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W36" i="22"/>
  <c r="Y36" i="22" s="1"/>
  <c r="Y39" i="22" s="1"/>
  <c r="Y59" i="22" s="1"/>
  <c r="N39" i="22"/>
  <c r="N59" i="22"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 r="I134" i="18" s="1"/>
</calcChain>
</file>

<file path=xl/sharedStrings.xml><?xml version="1.0" encoding="utf-8"?>
<sst xmlns="http://schemas.openxmlformats.org/spreadsheetml/2006/main" count="534" uniqueCount="469">
  <si>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</si>
  <si>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</si>
  <si>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</si>
  <si>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</si>
  <si>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</si>
  <si>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</si>
  <si>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</si>
  <si>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</si>
  <si>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</si>
  <si>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</si>
  <si>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</si>
  <si>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</si>
  <si>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</si>
  <si>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</si>
  <si>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</si>
  <si>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</si>
  <si>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</si>
  <si>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</si>
  <si>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</si>
  <si>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</si>
  <si>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</si>
  <si>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</si>
  <si>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</si>
  <si>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</si>
  <si>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</si>
  <si>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</si>
  <si>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</si>
  <si>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</si>
  <si>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</si>
  <si>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</si>
  <si>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</si>
  <si>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</si>
  <si>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</si>
  <si>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</si>
  <si>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</si>
  <si>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</si>
  <si>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</si>
  <si>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</si>
  <si>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</si>
  <si>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</si>
  <si>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</si>
  <si>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</si>
  <si>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</si>
  <si>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</si>
  <si>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</si>
  <si>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</si>
  <si>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</si>
  <si>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</si>
  <si>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</si>
  <si>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</si>
  <si>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</si>
  <si>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</si>
  <si>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</si>
  <si>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</si>
  <si>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</si>
  <si>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</si>
  <si>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</si>
  <si>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</si>
  <si>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</si>
  <si>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</si>
  <si>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</si>
  <si>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</si>
  <si>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</si>
  <si>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</si>
  <si>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</si>
  <si>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</si>
  <si>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</si>
  <si>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</si>
  <si>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</si>
  <si>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</si>
  <si>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</si>
  <si>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</si>
  <si>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</si>
  <si>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</si>
  <si>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</si>
  <si>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</si>
  <si>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</si>
  <si>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</si>
  <si>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</si>
  <si>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</si>
  <si>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</si>
  <si>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</si>
  <si>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</si>
  <si>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</si>
  <si>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</si>
  <si>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</si>
  <si>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</si>
  <si>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</si>
  <si>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</si>
  <si>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</si>
  <si>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</si>
  <si>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</si>
  <si>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</si>
  <si>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</si>
  <si>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</si>
  <si>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</si>
  <si>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</si>
  <si>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</si>
  <si>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</si>
  <si>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</si>
  <si>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</si>
  <si>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</si>
  <si>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</si>
  <si>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</si>
  <si>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</si>
  <si>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</si>
  <si>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</si>
  <si>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</si>
  <si>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</si>
  <si>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</si>
  <si>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</si>
  <si>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</si>
  <si>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</si>
  <si>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</si>
  <si>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</si>
  <si>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</si>
  <si>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</si>
  <si>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</si>
  <si>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</si>
  <si>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</si>
  <si>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</si>
  <si>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</si>
  <si>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</si>
  <si>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</si>
  <si>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</si>
  <si>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</si>
  <si>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</si>
  <si>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</si>
  <si>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</si>
  <si>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</si>
  <si>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</si>
  <si>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</si>
  <si>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</si>
  <si>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</si>
  <si>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</si>
  <si>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</si>
  <si>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</si>
  <si>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</si>
  <si>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</si>
  <si>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</si>
  <si>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</si>
  <si>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</si>
  <si>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</si>
  <si>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</si>
  <si>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</si>
  <si>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</si>
  <si>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</si>
  <si>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</si>
  <si>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</si>
  <si>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</si>
  <si>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</si>
  <si>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</si>
  <si>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</si>
  <si>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</si>
  <si>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</si>
  <si>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</si>
  <si>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</si>
  <si>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</si>
  <si>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</si>
  <si>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</si>
  <si>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</si>
  <si>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</si>
  <si>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</si>
  <si>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</si>
  <si>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</si>
  <si>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</si>
  <si>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</si>
  <si>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</si>
  <si>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</si>
  <si>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</si>
  <si>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</si>
  <si>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</si>
  <si>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</si>
  <si>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</si>
  <si>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</si>
  <si>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</si>
  <si>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</si>
  <si>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</si>
  <si>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</si>
  <si>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</si>
  <si>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</si>
  <si>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</si>
  <si>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</si>
  <si>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</si>
  <si>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</si>
  <si>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</si>
  <si>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</si>
  <si>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</si>
  <si>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</si>
  <si>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</si>
  <si>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</si>
  <si>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</si>
  <si>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</si>
  <si>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</si>
  <si>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</si>
  <si>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</si>
  <si>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</si>
  <si>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</si>
  <si>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</si>
  <si>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</si>
  <si>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</si>
  <si>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</si>
  <si>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</si>
  <si>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</si>
  <si>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</si>
  <si>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</si>
  <si>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</si>
  <si>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</si>
  <si>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</si>
  <si>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</si>
  <si>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</si>
  <si>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</si>
  <si>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</si>
  <si>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</si>
  <si>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</si>
  <si>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</si>
  <si>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</si>
  <si>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</si>
  <si>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</si>
  <si>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</si>
  <si>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</si>
  <si>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</si>
  <si>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</si>
  <si>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</si>
  <si>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</si>
  <si>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</si>
  <si>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</si>
  <si>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</si>
  <si>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</si>
  <si>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</si>
  <si>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</si>
  <si>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</si>
  <si>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</si>
  <si>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</si>
  <si>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</si>
  <si>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</si>
  <si>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</si>
  <si>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</si>
  <si>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</si>
  <si>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</si>
  <si>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</si>
  <si>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</si>
  <si>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</si>
  <si>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</si>
  <si>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</si>
  <si>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</si>
  <si>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</si>
  <si>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</si>
  <si>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</si>
  <si>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</si>
  <si>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</si>
  <si>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</si>
  <si>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</si>
  <si>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</si>
  <si>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</si>
  <si>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</si>
  <si>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</si>
  <si>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</si>
  <si>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</si>
  <si>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</si>
  <si>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</si>
  <si>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</si>
  <si>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</si>
  <si>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</si>
  <si>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</si>
  <si>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</si>
  <si>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</si>
  <si>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</si>
  <si>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</si>
  <si>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</si>
  <si>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</si>
  <si>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</si>
  <si>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</si>
  <si>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</si>
  <si>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</si>
  <si>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</si>
  <si>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</si>
  <si>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</si>
  <si>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</si>
  <si>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</si>
  <si>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</si>
  <si>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</si>
  <si>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</si>
  <si>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</si>
  <si>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</si>
  <si>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</si>
  <si>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</si>
  <si>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</si>
  <si>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</si>
  <si>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</si>
  <si>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</si>
  <si>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</si>
  <si>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</si>
  <si>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</si>
  <si>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</si>
  <si>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</si>
  <si>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</si>
  <si>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</si>
  <si>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</si>
  <si>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</si>
  <si>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</si>
  <si>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</si>
  <si>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</si>
  <si>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</si>
  <si>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</si>
  <si>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</si>
  <si>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</si>
  <si>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</si>
  <si>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</si>
  <si>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</si>
  <si>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</si>
  <si>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</si>
  <si>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</si>
  <si>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</si>
  <si>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</si>
  <si>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</si>
  <si>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</si>
  <si>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</si>
  <si>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</si>
  <si>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</si>
  <si>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</si>
  <si>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</si>
  <si>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</si>
  <si>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</si>
  <si>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</si>
  <si>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</si>
  <si>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</si>
  <si>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</si>
  <si>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</si>
  <si>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</si>
  <si>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</si>
  <si>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</si>
  <si>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</si>
  <si>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</si>
  <si>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</si>
  <si>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</si>
  <si>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</si>
  <si>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</si>
  <si>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</si>
  <si>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</si>
  <si>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</si>
  <si>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</si>
  <si>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</si>
  <si>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</si>
  <si>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</si>
  <si>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</si>
  <si>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</si>
  <si>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</si>
  <si>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</si>
  <si>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</si>
  <si>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</si>
  <si>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</si>
  <si>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</si>
  <si>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</si>
  <si>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</si>
  <si>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</si>
  <si>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</si>
  <si>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</si>
  <si>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</si>
  <si>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</si>
  <si>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</si>
  <si>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</si>
  <si>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</si>
  <si>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</si>
  <si>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</si>
  <si>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</si>
  <si>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</si>
  <si>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</si>
  <si>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</si>
  <si>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</si>
  <si>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</si>
  <si>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</si>
  <si>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</si>
  <si>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</si>
  <si>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</si>
  <si>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</si>
  <si>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</si>
  <si>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</si>
  <si>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</si>
  <si>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</si>
  <si>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</si>
  <si>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</si>
  <si>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</si>
  <si>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</si>
  <si>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</si>
  <si>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</si>
  <si>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</si>
  <si>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</si>
  <si>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</si>
  <si>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</si>
  <si>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</si>
  <si>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</si>
  <si>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</si>
  <si>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</si>
  <si>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</si>
  <si>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</si>
  <si>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</si>
  <si>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</si>
  <si>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</si>
  <si>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</si>
  <si>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</si>
  <si>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</si>
  <si>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</si>
  <si>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</si>
  <si>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</si>
  <si>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</si>
  <si>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</si>
  <si>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</si>
  <si>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</si>
  <si>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</si>
  <si>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</si>
  <si>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</si>
  <si>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</si>
  <si>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</si>
  <si>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</si>
  <si>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</si>
  <si>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</si>
  <si>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</si>
  <si>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</si>
  <si>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</si>
  <si>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</si>
  <si>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</si>
  <si>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</si>
  <si>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</si>
  <si>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</si>
  <si>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</si>
  <si>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</si>
  <si>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</si>
  <si>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</si>
  <si>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</si>
  <si>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</si>
  <si>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</si>
  <si>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</si>
  <si>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</si>
  <si>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</si>
  <si>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</si>
  <si>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</si>
  <si>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</si>
  <si>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</si>
  <si>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</si>
  <si>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</si>
  <si>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</si>
  <si>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</si>
  <si>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</si>
  <si>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</si>
  <si>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</si>
  <si>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</si>
  <si>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</si>
  <si>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</si>
  <si>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Obveznik:Brodogradilište Viktor Lenac d.d.</t>
  </si>
  <si>
    <t>Obveznik: Brodogradilište Viktor Lenac d.d.</t>
  </si>
  <si>
    <t>03333710</t>
  </si>
  <si>
    <t>RH</t>
  </si>
  <si>
    <t>74780060BA4DPK8V1P23</t>
  </si>
  <si>
    <t>040000358</t>
  </si>
  <si>
    <t>27531244647</t>
  </si>
  <si>
    <t>1736</t>
  </si>
  <si>
    <t>Brodogradilište Viktor Lenac d.d.</t>
  </si>
  <si>
    <t>viktor.lenac@lenac.hr</t>
  </si>
  <si>
    <t>www.lenac.hr</t>
  </si>
  <si>
    <t>Divna Pjevalica/Sandra Uzelac</t>
  </si>
  <si>
    <t>051405616</t>
  </si>
  <si>
    <t>divna.pjevalica@lenac.hr</t>
  </si>
  <si>
    <t xml:space="preserve">stanje na dan 31.12.2023 </t>
  </si>
  <si>
    <t>u razdoblju 1.1.2023 do 31.12.2023</t>
  </si>
  <si>
    <t>u razdoblju 1.1.2023. do 31.12.2023.</t>
  </si>
  <si>
    <r>
      <t xml:space="preserve">BILJEŠKE UZ FINANCIJSKE IZVJEŠTAJE - TFI
(koji se sastavljaju za tromjesečna razdoblja)
Naziv izdavatelja:   Brodogradilište Viktor Lenac d.d.
OIB:   27531244647
ISIN oznaka: HRVLENRB0001
Oznaka vrijednosnice: VLEN
Redovito tržište Zagrbačke burze
Izvještajno razdoblje: 01.01.2023.-31.12.2023.
Bilješke uz financijske izvještaje:
POZICIJE RDG
Radi pojašnjavanja pozicija RDG-a i pozicija Bilance iz standardnog obrasca TFI-POD i  financijskog izvještaja Društva navodimo slijedeće:
1. Pozicija AOP 002,003  iskazana u bilješci 4 - Prihodi od prodaje
2. Pozicija AOP 004,006  iskazana su u bilješci 5 - Ostali prihodi
3. Pozicija AOP 009-012  iskazana u bilješci 6 - Materijalni troškovi i troškovi prodane robe
4. Pozicija AOP 013-016  iskazana u bilješci 7 - Troškovi osoblja
5. Pozicija AOP 030-048 iskazana u bilješci 12 - Financijski troškovi i prihodi. Društvo u standardnom obrascu iskazuje efekt tečajnih razlika.U bilješci naveden točan iznos tečajnih razlika.
</t>
    </r>
    <r>
      <rPr>
        <b/>
        <sz val="10"/>
        <rFont val="Arial"/>
        <family val="2"/>
        <charset val="238"/>
      </rPr>
      <t>POZICIJE BILANCE</t>
    </r>
    <r>
      <rPr>
        <sz val="10"/>
        <rFont val="Arial"/>
        <family val="2"/>
        <charset val="238"/>
      </rPr>
      <t xml:space="preserve">
1. Pozicija AOP 004-009; 011-019 iskazana je u bilješci 12 - Nekretnine, postrojenja i oprema
2. Pozicija AOP 027 iskazana je u bilješci 13 - Ulagnja u povezana društva i vrijednosne papire
3. Pozicija AOP 039 iskazana u bilješci 14 - Zalihe
4. Pozicija AOP 046-052 i pozicija AOP 064 iskazana u bilješci 15 - Potraživanja od kupaca i ostala potraživanja. 
5. Pozicija AOP 063 iskazana u bilješci 16 - Novac i novčani ekvivalenti 
6. Pozicija AOP od 098-108 iskazana u bilješci 18 - Dugoročne obveze. 
7. Pozicija AOP od 110-123 iskazana u bilješci 19 - Obveze prema dobavljačima i ostale obveze</t>
    </r>
  </si>
  <si>
    <t>Martinšćica 8</t>
  </si>
  <si>
    <t>Kostrena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</si>
</sst>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15" workbookViewId="0">
      <selection activeCell="G21" sqref="G21:J21"/>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45291</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4</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451</v>
      </c>
      <c r="D11" s="160"/>
      <c r="E11" s="96"/>
      <c r="F11" s="126" t="s">
        <v>333</v>
      </c>
      <c r="G11" s="163"/>
      <c r="H11" s="142" t="s">
        <v>452</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454</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455</v>
      </c>
      <c r="D15" s="160"/>
      <c r="E15" s="164"/>
      <c r="F15" s="155"/>
      <c r="G15" s="101" t="s">
        <v>334</v>
      </c>
      <c r="H15" s="142" t="s">
        <v>453</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456</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457</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51221</v>
      </c>
      <c r="D21" s="143"/>
      <c r="E21" s="132"/>
      <c r="F21" s="132"/>
      <c r="G21" s="133" t="s">
        <v>468</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467</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458</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459</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317</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337</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c r="B37" s="149"/>
      <c r="C37" s="149"/>
      <c r="D37" s="149"/>
      <c r="E37" s="148"/>
      <c r="F37" s="149"/>
      <c r="G37" s="149"/>
      <c r="H37" s="149"/>
      <c r="I37" s="150"/>
      <c r="J37" s="76"/>
    </row>
    <row r="38" spans="1:10" x14ac:dyDescent="0.25">
      <c r="A38" s="98"/>
      <c r="B38" s="77"/>
      <c r="C38" s="105"/>
      <c r="D38" s="151"/>
      <c r="E38" s="151"/>
      <c r="F38" s="151"/>
      <c r="G38" s="151"/>
      <c r="H38" s="151"/>
      <c r="I38" s="151"/>
      <c r="J38" s="100"/>
    </row>
    <row r="39" spans="1:10" x14ac:dyDescent="0.25">
      <c r="A39" s="148"/>
      <c r="B39" s="149"/>
      <c r="C39" s="149"/>
      <c r="D39" s="150"/>
      <c r="E39" s="148"/>
      <c r="F39" s="149"/>
      <c r="G39" s="149"/>
      <c r="H39" s="149"/>
      <c r="I39" s="150"/>
      <c r="J39" s="44"/>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t="s">
        <v>343</v>
      </c>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460</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461</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462</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8" sqref="A8:I134"/>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463</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449</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28112306</v>
      </c>
      <c r="I9" s="120">
        <f>I10+I17+I27+I38+I43</f>
        <v>36159185</v>
      </c>
    </row>
    <row r="10" spans="1:9" ht="12.75" customHeight="1" x14ac:dyDescent="0.2">
      <c r="A10" s="186" t="s">
        <v>5</v>
      </c>
      <c r="B10" s="186"/>
      <c r="C10" s="186"/>
      <c r="D10" s="186"/>
      <c r="E10" s="186"/>
      <c r="F10" s="186"/>
      <c r="G10" s="12">
        <v>3</v>
      </c>
      <c r="H10" s="120">
        <f>H11+H12+H13+H14+H15+H16</f>
        <v>535673</v>
      </c>
      <c r="I10" s="120">
        <f>I11+I12+I13+I14+I15+I16</f>
        <v>476730</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535673</v>
      </c>
      <c r="I12" s="18">
        <v>476730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20">
        <f>H18+H19+H20+H21+H22+H23+H24+H25+H26</f>
        <v>26372760</v>
      </c>
      <c r="I17" s="120">
        <f>I18+I19+I20+I21+I22+I23+I24+I25+I26</f>
        <v>35592853</v>
      </c>
    </row>
    <row r="18" spans="1:9" ht="12.75" customHeight="1" x14ac:dyDescent="0.2">
      <c r="A18" s="182" t="s">
        <v>13</v>
      </c>
      <c r="B18" s="182"/>
      <c r="C18" s="182"/>
      <c r="D18" s="182"/>
      <c r="E18" s="182"/>
      <c r="F18" s="182"/>
      <c r="G18" s="11">
        <v>11</v>
      </c>
      <c r="H18" s="18">
        <v>736039</v>
      </c>
      <c r="I18" s="18">
        <v>736039</v>
      </c>
    </row>
    <row r="19" spans="1:9" ht="12.75" customHeight="1" x14ac:dyDescent="0.2">
      <c r="A19" s="182" t="s">
        <v>14</v>
      </c>
      <c r="B19" s="182"/>
      <c r="C19" s="182"/>
      <c r="D19" s="182"/>
      <c r="E19" s="182"/>
      <c r="F19" s="182"/>
      <c r="G19" s="11">
        <v>12</v>
      </c>
      <c r="H19" s="18">
        <v>198335</v>
      </c>
      <c r="I19" s="18">
        <v>179786</v>
      </c>
    </row>
    <row r="20" spans="1:9" ht="12.75" customHeight="1" x14ac:dyDescent="0.2">
      <c r="A20" s="182" t="s">
        <v>15</v>
      </c>
      <c r="B20" s="182"/>
      <c r="C20" s="182"/>
      <c r="D20" s="182"/>
      <c r="E20" s="182"/>
      <c r="F20" s="182"/>
      <c r="G20" s="11">
        <v>13</v>
      </c>
      <c r="H20" s="18">
        <v>24370767</v>
      </c>
      <c r="I20" s="18">
        <v>19018478</v>
      </c>
    </row>
    <row r="21" spans="1:9" ht="12.75" customHeight="1" x14ac:dyDescent="0.2">
      <c r="A21" s="182" t="s">
        <v>16</v>
      </c>
      <c r="B21" s="182"/>
      <c r="C21" s="182"/>
      <c r="D21" s="182"/>
      <c r="E21" s="182"/>
      <c r="F21" s="182"/>
      <c r="G21" s="11">
        <v>14</v>
      </c>
      <c r="H21" s="18">
        <v>479083</v>
      </c>
      <c r="I21" s="18">
        <v>409965</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237343</v>
      </c>
      <c r="I23" s="18">
        <v>267634</v>
      </c>
    </row>
    <row r="24" spans="1:9" ht="12.75" customHeight="1" x14ac:dyDescent="0.2">
      <c r="A24" s="182" t="s">
        <v>19</v>
      </c>
      <c r="B24" s="182"/>
      <c r="C24" s="182"/>
      <c r="D24" s="182"/>
      <c r="E24" s="182"/>
      <c r="F24" s="182"/>
      <c r="G24" s="11">
        <v>17</v>
      </c>
      <c r="H24" s="18">
        <v>84787</v>
      </c>
      <c r="I24" s="18">
        <v>14714545</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266406</v>
      </c>
      <c r="I26" s="18">
        <v>266406</v>
      </c>
    </row>
    <row r="27" spans="1:9" ht="12.75" customHeight="1" x14ac:dyDescent="0.2">
      <c r="A27" s="186" t="s">
        <v>22</v>
      </c>
      <c r="B27" s="186"/>
      <c r="C27" s="186"/>
      <c r="D27" s="186"/>
      <c r="E27" s="186"/>
      <c r="F27" s="186"/>
      <c r="G27" s="12">
        <v>20</v>
      </c>
      <c r="H27" s="120">
        <f>SUM(H28:H37)</f>
        <v>1142456</v>
      </c>
      <c r="I27" s="120">
        <f>SUM(I28:I37)</f>
        <v>38935</v>
      </c>
    </row>
    <row r="28" spans="1:9" ht="12.75" customHeight="1" x14ac:dyDescent="0.2">
      <c r="A28" s="182" t="s">
        <v>23</v>
      </c>
      <c r="B28" s="182"/>
      <c r="C28" s="182"/>
      <c r="D28" s="182"/>
      <c r="E28" s="182"/>
      <c r="F28" s="182"/>
      <c r="G28" s="11">
        <v>21</v>
      </c>
      <c r="H28" s="18">
        <v>1991</v>
      </c>
      <c r="I28" s="18">
        <v>1991</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15059</v>
      </c>
      <c r="I34" s="18">
        <v>17558</v>
      </c>
    </row>
    <row r="35" spans="1:9" ht="12.75" customHeight="1" x14ac:dyDescent="0.2">
      <c r="A35" s="182" t="s">
        <v>30</v>
      </c>
      <c r="B35" s="182"/>
      <c r="C35" s="182"/>
      <c r="D35" s="182"/>
      <c r="E35" s="182"/>
      <c r="F35" s="182"/>
      <c r="G35" s="11">
        <v>28</v>
      </c>
      <c r="H35" s="18">
        <v>1100000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25406</v>
      </c>
      <c r="I37" s="18">
        <v>19386</v>
      </c>
    </row>
    <row r="38" spans="1:9" ht="12.75" customHeight="1" x14ac:dyDescent="0.2">
      <c r="A38" s="186" t="s">
        <v>33</v>
      </c>
      <c r="B38" s="186"/>
      <c r="C38" s="186"/>
      <c r="D38" s="186"/>
      <c r="E38" s="186"/>
      <c r="F38" s="186"/>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61417</v>
      </c>
      <c r="I43" s="18">
        <v>50667</v>
      </c>
    </row>
    <row r="44" spans="1:9" ht="12.75" customHeight="1" x14ac:dyDescent="0.2">
      <c r="A44" s="184" t="s">
        <v>303</v>
      </c>
      <c r="B44" s="184"/>
      <c r="C44" s="184"/>
      <c r="D44" s="184"/>
      <c r="E44" s="184"/>
      <c r="F44" s="184"/>
      <c r="G44" s="12">
        <v>37</v>
      </c>
      <c r="H44" s="120">
        <f>H45+H53+H60+H70</f>
        <v>33115808</v>
      </c>
      <c r="I44" s="120">
        <f>I45+I53+I60+I70</f>
        <v>31677162</v>
      </c>
    </row>
    <row r="45" spans="1:9" ht="12.75" customHeight="1" x14ac:dyDescent="0.2">
      <c r="A45" s="186" t="s">
        <v>39</v>
      </c>
      <c r="B45" s="186"/>
      <c r="C45" s="186"/>
      <c r="D45" s="186"/>
      <c r="E45" s="186"/>
      <c r="F45" s="186"/>
      <c r="G45" s="12">
        <v>38</v>
      </c>
      <c r="H45" s="120">
        <f>SUM(H46:H52)</f>
        <v>6183507</v>
      </c>
      <c r="I45" s="120">
        <f>SUM(I46:I52)</f>
        <v>6419312</v>
      </c>
    </row>
    <row r="46" spans="1:9" ht="12.75" customHeight="1" x14ac:dyDescent="0.2">
      <c r="A46" s="182" t="s">
        <v>40</v>
      </c>
      <c r="B46" s="182"/>
      <c r="C46" s="182"/>
      <c r="D46" s="182"/>
      <c r="E46" s="182"/>
      <c r="F46" s="182"/>
      <c r="G46" s="11">
        <v>39</v>
      </c>
      <c r="H46" s="18">
        <v>6183507</v>
      </c>
      <c r="I46" s="18">
        <v>6419312</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9497011</v>
      </c>
      <c r="I53" s="120">
        <f>SUM(I54:I59)</f>
        <v>11890697</v>
      </c>
    </row>
    <row r="54" spans="1:9" ht="12.75" customHeight="1" x14ac:dyDescent="0.2">
      <c r="A54" s="182" t="s">
        <v>48</v>
      </c>
      <c r="B54" s="182"/>
      <c r="C54" s="182"/>
      <c r="D54" s="182"/>
      <c r="E54" s="182"/>
      <c r="F54" s="182"/>
      <c r="G54" s="11">
        <v>47</v>
      </c>
      <c r="H54" s="18">
        <v>1211</v>
      </c>
      <c r="I54" s="18">
        <v>33451</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3886028</v>
      </c>
      <c r="I56" s="18">
        <v>3888932</v>
      </c>
    </row>
    <row r="57" spans="1:9" ht="12.75" customHeight="1" x14ac:dyDescent="0.2">
      <c r="A57" s="182" t="s">
        <v>51</v>
      </c>
      <c r="B57" s="182"/>
      <c r="C57" s="182"/>
      <c r="D57" s="182"/>
      <c r="E57" s="182"/>
      <c r="F57" s="182"/>
      <c r="G57" s="11">
        <v>50</v>
      </c>
      <c r="H57" s="18">
        <v>273</v>
      </c>
      <c r="I57" s="18">
        <v>46882</v>
      </c>
    </row>
    <row r="58" spans="1:9" ht="12.75" customHeight="1" x14ac:dyDescent="0.2">
      <c r="A58" s="182" t="s">
        <v>52</v>
      </c>
      <c r="B58" s="182"/>
      <c r="C58" s="182"/>
      <c r="D58" s="182"/>
      <c r="E58" s="182"/>
      <c r="F58" s="182"/>
      <c r="G58" s="11">
        <v>51</v>
      </c>
      <c r="H58" s="18">
        <v>1627223</v>
      </c>
      <c r="I58" s="18">
        <v>1910393</v>
      </c>
    </row>
    <row r="59" spans="1:9" ht="12.75" customHeight="1" x14ac:dyDescent="0.2">
      <c r="A59" s="182" t="s">
        <v>53</v>
      </c>
      <c r="B59" s="182"/>
      <c r="C59" s="182"/>
      <c r="D59" s="182"/>
      <c r="E59" s="182"/>
      <c r="F59" s="182"/>
      <c r="G59" s="11">
        <v>52</v>
      </c>
      <c r="H59" s="18">
        <v>3982276</v>
      </c>
      <c r="I59" s="18">
        <v>6011039</v>
      </c>
    </row>
    <row r="60" spans="1:9" ht="12.75" customHeight="1" x14ac:dyDescent="0.2">
      <c r="A60" s="186" t="s">
        <v>54</v>
      </c>
      <c r="B60" s="186"/>
      <c r="C60" s="186"/>
      <c r="D60" s="186"/>
      <c r="E60" s="186"/>
      <c r="F60" s="186"/>
      <c r="G60" s="12">
        <v>53</v>
      </c>
      <c r="H60" s="120">
        <f>SUM(H61:H69)</f>
        <v>0</v>
      </c>
      <c r="I60" s="120">
        <f>SUM(I61:I69)</f>
        <v>43400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43400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17435290</v>
      </c>
      <c r="I70" s="18">
        <v>13323753</v>
      </c>
    </row>
    <row r="71" spans="1:9" ht="12.75" customHeight="1" x14ac:dyDescent="0.2">
      <c r="A71" s="183" t="s">
        <v>58</v>
      </c>
      <c r="B71" s="183"/>
      <c r="C71" s="183"/>
      <c r="D71" s="183"/>
      <c r="E71" s="183"/>
      <c r="F71" s="183"/>
      <c r="G71" s="11">
        <v>64</v>
      </c>
      <c r="H71" s="18">
        <v>10688660</v>
      </c>
      <c r="I71" s="18">
        <v>3947672</v>
      </c>
    </row>
    <row r="72" spans="1:9" ht="12.75" customHeight="1" x14ac:dyDescent="0.2">
      <c r="A72" s="184" t="s">
        <v>304</v>
      </c>
      <c r="B72" s="184"/>
      <c r="C72" s="184"/>
      <c r="D72" s="184"/>
      <c r="E72" s="184"/>
      <c r="F72" s="184"/>
      <c r="G72" s="12">
        <v>65</v>
      </c>
      <c r="H72" s="120">
        <f>H8+H9+H44+H71</f>
        <v>71916774</v>
      </c>
      <c r="I72" s="120">
        <f>I8+I9+I44+I71</f>
        <v>71784019</v>
      </c>
    </row>
    <row r="73" spans="1:9" ht="12.75" customHeight="1" x14ac:dyDescent="0.2">
      <c r="A73" s="183" t="s">
        <v>59</v>
      </c>
      <c r="B73" s="183"/>
      <c r="C73" s="183"/>
      <c r="D73" s="183"/>
      <c r="E73" s="183"/>
      <c r="F73" s="183"/>
      <c r="G73" s="11">
        <v>66</v>
      </c>
      <c r="H73" s="18">
        <v>0</v>
      </c>
      <c r="I73" s="18">
        <v>0</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45170266</v>
      </c>
      <c r="I75" s="121">
        <f>I76+I77+I78+I84+I85+I91+I94+I97</f>
        <v>49668268</v>
      </c>
    </row>
    <row r="76" spans="1:9" ht="12.75" customHeight="1" x14ac:dyDescent="0.2">
      <c r="A76" s="182" t="s">
        <v>61</v>
      </c>
      <c r="B76" s="182"/>
      <c r="C76" s="182"/>
      <c r="D76" s="182"/>
      <c r="E76" s="182"/>
      <c r="F76" s="182"/>
      <c r="G76" s="11">
        <v>68</v>
      </c>
      <c r="H76" s="18">
        <v>22315014</v>
      </c>
      <c r="I76" s="18">
        <v>22315014</v>
      </c>
    </row>
    <row r="77" spans="1:9" ht="12.75" customHeight="1" x14ac:dyDescent="0.2">
      <c r="A77" s="182" t="s">
        <v>62</v>
      </c>
      <c r="B77" s="182"/>
      <c r="C77" s="182"/>
      <c r="D77" s="182"/>
      <c r="E77" s="182"/>
      <c r="F77" s="182"/>
      <c r="G77" s="11">
        <v>69</v>
      </c>
      <c r="H77" s="18">
        <v>0</v>
      </c>
      <c r="I77" s="18">
        <v>0</v>
      </c>
    </row>
    <row r="78" spans="1:9" ht="12.75" customHeight="1" x14ac:dyDescent="0.2">
      <c r="A78" s="186" t="s">
        <v>63</v>
      </c>
      <c r="B78" s="186"/>
      <c r="C78" s="186"/>
      <c r="D78" s="186"/>
      <c r="E78" s="186"/>
      <c r="F78" s="186"/>
      <c r="G78" s="12">
        <v>70</v>
      </c>
      <c r="H78" s="121">
        <f>SUM(H79:H83)</f>
        <v>17512870</v>
      </c>
      <c r="I78" s="121">
        <f>SUM(I79:I83)</f>
        <v>22846551</v>
      </c>
    </row>
    <row r="79" spans="1:9" ht="12.75" customHeight="1" x14ac:dyDescent="0.2">
      <c r="A79" s="182" t="s">
        <v>64</v>
      </c>
      <c r="B79" s="182"/>
      <c r="C79" s="182"/>
      <c r="D79" s="182"/>
      <c r="E79" s="182"/>
      <c r="F79" s="182"/>
      <c r="G79" s="11">
        <v>71</v>
      </c>
      <c r="H79" s="18">
        <v>1115751</v>
      </c>
      <c r="I79" s="18">
        <v>1115751</v>
      </c>
    </row>
    <row r="80" spans="1:9" ht="12.75" customHeight="1" x14ac:dyDescent="0.2">
      <c r="A80" s="182" t="s">
        <v>65</v>
      </c>
      <c r="B80" s="182"/>
      <c r="C80" s="182"/>
      <c r="D80" s="182"/>
      <c r="E80" s="182"/>
      <c r="F80" s="182"/>
      <c r="G80" s="11">
        <v>72</v>
      </c>
      <c r="H80" s="18">
        <v>1664344</v>
      </c>
      <c r="I80" s="18">
        <v>1664344</v>
      </c>
    </row>
    <row r="81" spans="1:9" ht="12.75" customHeight="1" x14ac:dyDescent="0.2">
      <c r="A81" s="182" t="s">
        <v>66</v>
      </c>
      <c r="B81" s="182"/>
      <c r="C81" s="182"/>
      <c r="D81" s="182"/>
      <c r="E81" s="182"/>
      <c r="F81" s="182"/>
      <c r="G81" s="11">
        <v>73</v>
      </c>
      <c r="H81" s="18">
        <v>-1069185</v>
      </c>
      <c r="I81" s="18">
        <v>-1069185</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15801960</v>
      </c>
      <c r="I83" s="18">
        <v>21135641</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0</v>
      </c>
      <c r="I91" s="120">
        <f>I92-I93</f>
        <v>0</v>
      </c>
    </row>
    <row r="92" spans="1:9" ht="12.75" customHeight="1" x14ac:dyDescent="0.2">
      <c r="A92" s="182" t="s">
        <v>72</v>
      </c>
      <c r="B92" s="182"/>
      <c r="C92" s="182"/>
      <c r="D92" s="182"/>
      <c r="E92" s="182"/>
      <c r="F92" s="182"/>
      <c r="G92" s="11">
        <v>84</v>
      </c>
      <c r="H92" s="18">
        <v>0</v>
      </c>
      <c r="I92" s="18">
        <v>0</v>
      </c>
    </row>
    <row r="93" spans="1:9" ht="12.75" customHeight="1" x14ac:dyDescent="0.2">
      <c r="A93" s="182" t="s">
        <v>73</v>
      </c>
      <c r="B93" s="182"/>
      <c r="C93" s="182"/>
      <c r="D93" s="182"/>
      <c r="E93" s="182"/>
      <c r="F93" s="182"/>
      <c r="G93" s="11">
        <v>85</v>
      </c>
      <c r="H93" s="18">
        <v>0</v>
      </c>
      <c r="I93" s="18">
        <v>0</v>
      </c>
    </row>
    <row r="94" spans="1:9" ht="12.75" customHeight="1" x14ac:dyDescent="0.2">
      <c r="A94" s="186" t="s">
        <v>353</v>
      </c>
      <c r="B94" s="186"/>
      <c r="C94" s="186"/>
      <c r="D94" s="186"/>
      <c r="E94" s="186"/>
      <c r="F94" s="186"/>
      <c r="G94" s="12">
        <v>86</v>
      </c>
      <c r="H94" s="120">
        <f>H95-H96</f>
        <v>5342382</v>
      </c>
      <c r="I94" s="120">
        <f>I95-I96</f>
        <v>4506703</v>
      </c>
    </row>
    <row r="95" spans="1:9" ht="12.75" customHeight="1" x14ac:dyDescent="0.2">
      <c r="A95" s="182" t="s">
        <v>74</v>
      </c>
      <c r="B95" s="182"/>
      <c r="C95" s="182"/>
      <c r="D95" s="182"/>
      <c r="E95" s="182"/>
      <c r="F95" s="182"/>
      <c r="G95" s="11">
        <v>87</v>
      </c>
      <c r="H95" s="18">
        <v>5342382</v>
      </c>
      <c r="I95" s="18">
        <v>4506703</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1961661</v>
      </c>
      <c r="I98" s="120">
        <f>SUM(I99:I104)</f>
        <v>2253238</v>
      </c>
    </row>
    <row r="99" spans="1:9" ht="12.75" customHeight="1" x14ac:dyDescent="0.2">
      <c r="A99" s="182" t="s">
        <v>77</v>
      </c>
      <c r="B99" s="182"/>
      <c r="C99" s="182"/>
      <c r="D99" s="182"/>
      <c r="E99" s="182"/>
      <c r="F99" s="182"/>
      <c r="G99" s="11">
        <v>91</v>
      </c>
      <c r="H99" s="18">
        <v>295207</v>
      </c>
      <c r="I99" s="18">
        <v>343991</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1666454</v>
      </c>
      <c r="I101" s="18">
        <v>1909247</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1160125</v>
      </c>
      <c r="I105" s="120">
        <f>SUM(I106:I116)</f>
        <v>819236</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1305</v>
      </c>
      <c r="I110" s="18">
        <v>1305</v>
      </c>
    </row>
    <row r="111" spans="1:9" ht="12.75" customHeight="1" x14ac:dyDescent="0.2">
      <c r="A111" s="182" t="s">
        <v>88</v>
      </c>
      <c r="B111" s="182"/>
      <c r="C111" s="182"/>
      <c r="D111" s="182"/>
      <c r="E111" s="182"/>
      <c r="F111" s="182"/>
      <c r="G111" s="11">
        <v>103</v>
      </c>
      <c r="H111" s="18">
        <v>476721</v>
      </c>
      <c r="I111" s="18">
        <v>263337</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680277</v>
      </c>
      <c r="I115" s="18">
        <v>552322</v>
      </c>
    </row>
    <row r="116" spans="1:9" ht="12.75" customHeight="1" x14ac:dyDescent="0.2">
      <c r="A116" s="182" t="s">
        <v>93</v>
      </c>
      <c r="B116" s="182"/>
      <c r="C116" s="182"/>
      <c r="D116" s="182"/>
      <c r="E116" s="182"/>
      <c r="F116" s="182"/>
      <c r="G116" s="11">
        <v>108</v>
      </c>
      <c r="H116" s="18">
        <v>1822</v>
      </c>
      <c r="I116" s="18">
        <v>2272</v>
      </c>
    </row>
    <row r="117" spans="1:9" ht="12.75" customHeight="1" x14ac:dyDescent="0.2">
      <c r="A117" s="184" t="s">
        <v>357</v>
      </c>
      <c r="B117" s="184"/>
      <c r="C117" s="184"/>
      <c r="D117" s="184"/>
      <c r="E117" s="184"/>
      <c r="F117" s="184"/>
      <c r="G117" s="12">
        <v>109</v>
      </c>
      <c r="H117" s="120">
        <f>SUM(H118:H131)</f>
        <v>20323851</v>
      </c>
      <c r="I117" s="120">
        <f>SUM(I118:I131)</f>
        <v>10687132</v>
      </c>
    </row>
    <row r="118" spans="1:9" ht="12.75" customHeight="1" x14ac:dyDescent="0.2">
      <c r="A118" s="182" t="s">
        <v>83</v>
      </c>
      <c r="B118" s="182"/>
      <c r="C118" s="182"/>
      <c r="D118" s="182"/>
      <c r="E118" s="182"/>
      <c r="F118" s="182"/>
      <c r="G118" s="11">
        <v>110</v>
      </c>
      <c r="H118" s="18">
        <v>153540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1331692</v>
      </c>
      <c r="I123" s="18">
        <v>224015</v>
      </c>
    </row>
    <row r="124" spans="1:9" ht="12.75" customHeight="1" x14ac:dyDescent="0.2">
      <c r="A124" s="182" t="s">
        <v>89</v>
      </c>
      <c r="B124" s="182"/>
      <c r="C124" s="182"/>
      <c r="D124" s="182"/>
      <c r="E124" s="182"/>
      <c r="F124" s="182"/>
      <c r="G124" s="11">
        <v>116</v>
      </c>
      <c r="H124" s="18">
        <v>6135690</v>
      </c>
      <c r="I124" s="18">
        <v>0</v>
      </c>
    </row>
    <row r="125" spans="1:9" ht="12.75" customHeight="1" x14ac:dyDescent="0.2">
      <c r="A125" s="182" t="s">
        <v>90</v>
      </c>
      <c r="B125" s="182"/>
      <c r="C125" s="182"/>
      <c r="D125" s="182"/>
      <c r="E125" s="182"/>
      <c r="F125" s="182"/>
      <c r="G125" s="11">
        <v>117</v>
      </c>
      <c r="H125" s="18">
        <v>9208426</v>
      </c>
      <c r="I125" s="18">
        <v>9011199</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458734</v>
      </c>
      <c r="I127" s="18">
        <v>488924</v>
      </c>
    </row>
    <row r="128" spans="1:9" x14ac:dyDescent="0.2">
      <c r="A128" s="182" t="s">
        <v>95</v>
      </c>
      <c r="B128" s="182"/>
      <c r="C128" s="182"/>
      <c r="D128" s="182"/>
      <c r="E128" s="182"/>
      <c r="F128" s="182"/>
      <c r="G128" s="11">
        <v>120</v>
      </c>
      <c r="H128" s="18">
        <v>2574576</v>
      </c>
      <c r="I128" s="18">
        <v>695245</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461193</v>
      </c>
      <c r="I131" s="18">
        <v>267749</v>
      </c>
    </row>
    <row r="132" spans="1:9" ht="22.15" customHeight="1" x14ac:dyDescent="0.2">
      <c r="A132" s="183" t="s">
        <v>99</v>
      </c>
      <c r="B132" s="183"/>
      <c r="C132" s="183"/>
      <c r="D132" s="183"/>
      <c r="E132" s="183"/>
      <c r="F132" s="183"/>
      <c r="G132" s="11">
        <v>124</v>
      </c>
      <c r="H132" s="18">
        <v>3300871</v>
      </c>
      <c r="I132" s="18">
        <v>8356145</v>
      </c>
    </row>
    <row r="133" spans="1:9" ht="12.75" customHeight="1" x14ac:dyDescent="0.2">
      <c r="A133" s="184" t="s">
        <v>358</v>
      </c>
      <c r="B133" s="184"/>
      <c r="C133" s="184"/>
      <c r="D133" s="184"/>
      <c r="E133" s="184"/>
      <c r="F133" s="184"/>
      <c r="G133" s="12">
        <v>125</v>
      </c>
      <c r="H133" s="120">
        <f>H75+H98+H105+H117+H132</f>
        <v>71916774</v>
      </c>
      <c r="I133" s="120">
        <f>I75+I98+I105+I117+I132</f>
        <v>71784019</v>
      </c>
    </row>
    <row r="134" spans="1:9" x14ac:dyDescent="0.2">
      <c r="A134" s="183" t="s">
        <v>100</v>
      </c>
      <c r="B134" s="183"/>
      <c r="C134" s="183"/>
      <c r="D134" s="183"/>
      <c r="E134" s="183"/>
      <c r="F134" s="183"/>
      <c r="G134" s="11">
        <v>126</v>
      </c>
      <c r="H134" s="18">
        <f>+H133-H72</f>
        <v>0</v>
      </c>
      <c r="I134" s="18">
        <f>+I133-I72</f>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I92" sqref="I92"/>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464</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450</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85099142</v>
      </c>
      <c r="I8" s="52">
        <f>SUM(I9:I13)</f>
        <v>21079786</v>
      </c>
      <c r="J8" s="52">
        <f>SUM(J9:J13)</f>
        <v>85383146</v>
      </c>
      <c r="K8" s="52">
        <f>SUM(K9:K13)</f>
        <v>20011808</v>
      </c>
    </row>
    <row r="9" spans="1:11" ht="12.75" customHeight="1" x14ac:dyDescent="0.2">
      <c r="A9" s="182" t="s">
        <v>115</v>
      </c>
      <c r="B9" s="182"/>
      <c r="C9" s="182"/>
      <c r="D9" s="182"/>
      <c r="E9" s="182"/>
      <c r="F9" s="182"/>
      <c r="G9" s="11">
        <v>2</v>
      </c>
      <c r="H9" s="53">
        <v>1980</v>
      </c>
      <c r="I9" s="53">
        <f>+H9-1399-1</f>
        <v>580</v>
      </c>
      <c r="J9" s="53">
        <v>109180</v>
      </c>
      <c r="K9" s="53">
        <f>+J9-107970</f>
        <v>1210</v>
      </c>
    </row>
    <row r="10" spans="1:11" ht="12.75" customHeight="1" x14ac:dyDescent="0.2">
      <c r="A10" s="182" t="s">
        <v>116</v>
      </c>
      <c r="B10" s="182"/>
      <c r="C10" s="182"/>
      <c r="D10" s="182"/>
      <c r="E10" s="182"/>
      <c r="F10" s="182"/>
      <c r="G10" s="11">
        <v>3</v>
      </c>
      <c r="H10" s="53">
        <v>82176162</v>
      </c>
      <c r="I10" s="53">
        <f>+H10-62778399</f>
        <v>19397763</v>
      </c>
      <c r="J10" s="53">
        <v>69283945</v>
      </c>
      <c r="K10" s="53">
        <f>+J10-57223848</f>
        <v>12060097</v>
      </c>
    </row>
    <row r="11" spans="1:11" ht="12.75" customHeight="1" x14ac:dyDescent="0.2">
      <c r="A11" s="182" t="s">
        <v>117</v>
      </c>
      <c r="B11" s="182"/>
      <c r="C11" s="182"/>
      <c r="D11" s="182"/>
      <c r="E11" s="182"/>
      <c r="F11" s="182"/>
      <c r="G11" s="11">
        <v>4</v>
      </c>
      <c r="H11" s="53">
        <v>350623</v>
      </c>
      <c r="I11" s="53">
        <f>+H11-251328+1</f>
        <v>99296</v>
      </c>
      <c r="J11" s="53">
        <v>14389041</v>
      </c>
      <c r="K11" s="53">
        <f>+J11-6623382</f>
        <v>7765659</v>
      </c>
    </row>
    <row r="12" spans="1:11" ht="12.75" customHeight="1" x14ac:dyDescent="0.2">
      <c r="A12" s="182" t="s">
        <v>118</v>
      </c>
      <c r="B12" s="182"/>
      <c r="C12" s="182"/>
      <c r="D12" s="182"/>
      <c r="E12" s="182"/>
      <c r="F12" s="182"/>
      <c r="G12" s="11">
        <v>5</v>
      </c>
      <c r="H12" s="53">
        <v>9543</v>
      </c>
      <c r="I12" s="53">
        <f>+H12-8040</f>
        <v>1503</v>
      </c>
      <c r="J12" s="53">
        <v>10266</v>
      </c>
      <c r="K12" s="53">
        <f>+J12-8796</f>
        <v>1470</v>
      </c>
    </row>
    <row r="13" spans="1:11" ht="12.75" customHeight="1" x14ac:dyDescent="0.2">
      <c r="A13" s="182" t="s">
        <v>119</v>
      </c>
      <c r="B13" s="182"/>
      <c r="C13" s="182"/>
      <c r="D13" s="182"/>
      <c r="E13" s="182"/>
      <c r="F13" s="182"/>
      <c r="G13" s="11">
        <v>6</v>
      </c>
      <c r="H13" s="53">
        <f>2560834</f>
        <v>2560834</v>
      </c>
      <c r="I13" s="53">
        <f>+H13-980191+1</f>
        <v>1580644</v>
      </c>
      <c r="J13" s="53">
        <v>1590714</v>
      </c>
      <c r="K13" s="53">
        <f>+J13-1407342</f>
        <v>183372</v>
      </c>
    </row>
    <row r="14" spans="1:11" ht="12.75" customHeight="1" x14ac:dyDescent="0.2">
      <c r="A14" s="213" t="s">
        <v>360</v>
      </c>
      <c r="B14" s="213"/>
      <c r="C14" s="213"/>
      <c r="D14" s="213"/>
      <c r="E14" s="213"/>
      <c r="F14" s="213"/>
      <c r="G14" s="12">
        <v>7</v>
      </c>
      <c r="H14" s="52">
        <f>H15+H16+H20+H24+H25+H26+H29+H36</f>
        <v>77507559</v>
      </c>
      <c r="I14" s="52">
        <f>I15+I16+I20+I24+I25+I26+I29+I36</f>
        <v>25464525</v>
      </c>
      <c r="J14" s="52">
        <f>J15+J16+J20+J24+J25+J26+J29+J36</f>
        <v>79509979</v>
      </c>
      <c r="K14" s="52">
        <f>K15+K16+K20+K24+K25+K26+K29+K36</f>
        <v>20905442</v>
      </c>
    </row>
    <row r="15" spans="1:11" ht="12.75" customHeight="1" x14ac:dyDescent="0.2">
      <c r="A15" s="182" t="s">
        <v>104</v>
      </c>
      <c r="B15" s="182"/>
      <c r="C15" s="182"/>
      <c r="D15" s="182"/>
      <c r="E15" s="182"/>
      <c r="F15" s="182"/>
      <c r="G15" s="11">
        <v>8</v>
      </c>
      <c r="H15" s="53">
        <v>0</v>
      </c>
      <c r="I15" s="53">
        <f t="shared" ref="I15:I59" si="0">+H15-0</f>
        <v>0</v>
      </c>
      <c r="J15" s="53">
        <v>0</v>
      </c>
      <c r="K15" s="53">
        <f t="shared" ref="K15:K59" si="1">+J15-0</f>
        <v>0</v>
      </c>
    </row>
    <row r="16" spans="1:11" ht="12.75" customHeight="1" x14ac:dyDescent="0.2">
      <c r="A16" s="186" t="s">
        <v>440</v>
      </c>
      <c r="B16" s="186"/>
      <c r="C16" s="186"/>
      <c r="D16" s="186"/>
      <c r="E16" s="186"/>
      <c r="F16" s="186"/>
      <c r="G16" s="12">
        <v>9</v>
      </c>
      <c r="H16" s="52">
        <f>SUM(H17:H19)</f>
        <v>53006102</v>
      </c>
      <c r="I16" s="52">
        <f>SUM(I17:I19)</f>
        <v>14241616</v>
      </c>
      <c r="J16" s="52">
        <f>SUM(J17:J19)</f>
        <v>62063345</v>
      </c>
      <c r="K16" s="52">
        <f>SUM(K17:K19)</f>
        <v>16224447</v>
      </c>
    </row>
    <row r="17" spans="1:11" ht="12.75" customHeight="1" x14ac:dyDescent="0.2">
      <c r="A17" s="216" t="s">
        <v>120</v>
      </c>
      <c r="B17" s="216"/>
      <c r="C17" s="216"/>
      <c r="D17" s="216"/>
      <c r="E17" s="216"/>
      <c r="F17" s="216"/>
      <c r="G17" s="11">
        <v>10</v>
      </c>
      <c r="H17" s="53">
        <v>17039676</v>
      </c>
      <c r="I17" s="53">
        <f>+H17-10671916</f>
        <v>6367760</v>
      </c>
      <c r="J17" s="53">
        <v>19010823</v>
      </c>
      <c r="K17" s="53">
        <f>+J17-12613305</f>
        <v>6397518</v>
      </c>
    </row>
    <row r="18" spans="1:11" ht="12.75" customHeight="1" x14ac:dyDescent="0.2">
      <c r="A18" s="216" t="s">
        <v>121</v>
      </c>
      <c r="B18" s="216"/>
      <c r="C18" s="216"/>
      <c r="D18" s="216"/>
      <c r="E18" s="216"/>
      <c r="F18" s="216"/>
      <c r="G18" s="11">
        <v>11</v>
      </c>
      <c r="H18" s="53">
        <v>0</v>
      </c>
      <c r="I18" s="53">
        <f t="shared" si="0"/>
        <v>0</v>
      </c>
      <c r="J18" s="53">
        <v>0</v>
      </c>
      <c r="K18" s="53">
        <f t="shared" si="1"/>
        <v>0</v>
      </c>
    </row>
    <row r="19" spans="1:11" ht="12.75" customHeight="1" x14ac:dyDescent="0.2">
      <c r="A19" s="216" t="s">
        <v>122</v>
      </c>
      <c r="B19" s="216"/>
      <c r="C19" s="216"/>
      <c r="D19" s="216"/>
      <c r="E19" s="216"/>
      <c r="F19" s="216"/>
      <c r="G19" s="11">
        <v>12</v>
      </c>
      <c r="H19" s="53">
        <v>35966426</v>
      </c>
      <c r="I19" s="53">
        <f>+H19-28092570</f>
        <v>7873856</v>
      </c>
      <c r="J19" s="53">
        <v>43052522</v>
      </c>
      <c r="K19" s="53">
        <f>+J19-33225593</f>
        <v>9826929</v>
      </c>
    </row>
    <row r="20" spans="1:11" ht="12.75" customHeight="1" x14ac:dyDescent="0.2">
      <c r="A20" s="186" t="s">
        <v>441</v>
      </c>
      <c r="B20" s="186"/>
      <c r="C20" s="186"/>
      <c r="D20" s="186"/>
      <c r="E20" s="186"/>
      <c r="F20" s="186"/>
      <c r="G20" s="12">
        <v>13</v>
      </c>
      <c r="H20" s="52">
        <f>SUM(H21:H23)</f>
        <v>9044361</v>
      </c>
      <c r="I20" s="52">
        <f>SUM(I21:I23)</f>
        <v>2609177</v>
      </c>
      <c r="J20" s="52">
        <f>SUM(J21:J23)</f>
        <v>9103981</v>
      </c>
      <c r="K20" s="52">
        <f>SUM(K21:K23)</f>
        <v>2324633</v>
      </c>
    </row>
    <row r="21" spans="1:11" ht="12.75" customHeight="1" x14ac:dyDescent="0.2">
      <c r="A21" s="216" t="s">
        <v>105</v>
      </c>
      <c r="B21" s="216"/>
      <c r="C21" s="216"/>
      <c r="D21" s="216"/>
      <c r="E21" s="216"/>
      <c r="F21" s="216"/>
      <c r="G21" s="11">
        <v>14</v>
      </c>
      <c r="H21" s="53">
        <v>5848642</v>
      </c>
      <c r="I21" s="53">
        <f>+H21-4035345</f>
        <v>1813297</v>
      </c>
      <c r="J21" s="53">
        <v>5711511</v>
      </c>
      <c r="K21" s="53">
        <f>+J21-4223079</f>
        <v>1488432</v>
      </c>
    </row>
    <row r="22" spans="1:11" ht="12.75" customHeight="1" x14ac:dyDescent="0.2">
      <c r="A22" s="216" t="s">
        <v>106</v>
      </c>
      <c r="B22" s="216"/>
      <c r="C22" s="216"/>
      <c r="D22" s="216"/>
      <c r="E22" s="216"/>
      <c r="F22" s="216"/>
      <c r="G22" s="11">
        <v>15</v>
      </c>
      <c r="H22" s="53">
        <v>1996116</v>
      </c>
      <c r="I22" s="53">
        <f>+H22-1501265</f>
        <v>494851</v>
      </c>
      <c r="J22" s="53">
        <v>2138407</v>
      </c>
      <c r="K22" s="53">
        <f>+J22-1614079</f>
        <v>524328</v>
      </c>
    </row>
    <row r="23" spans="1:11" ht="12.75" customHeight="1" x14ac:dyDescent="0.2">
      <c r="A23" s="216" t="s">
        <v>107</v>
      </c>
      <c r="B23" s="216"/>
      <c r="C23" s="216"/>
      <c r="D23" s="216"/>
      <c r="E23" s="216"/>
      <c r="F23" s="216"/>
      <c r="G23" s="11">
        <v>16</v>
      </c>
      <c r="H23" s="53">
        <v>1199603</v>
      </c>
      <c r="I23" s="53">
        <f>+H23-898574</f>
        <v>301029</v>
      </c>
      <c r="J23" s="53">
        <v>1254063</v>
      </c>
      <c r="K23" s="53">
        <f>+J23-942190</f>
        <v>311873</v>
      </c>
    </row>
    <row r="24" spans="1:11" ht="12.75" customHeight="1" x14ac:dyDescent="0.2">
      <c r="A24" s="182" t="s">
        <v>108</v>
      </c>
      <c r="B24" s="182"/>
      <c r="C24" s="182"/>
      <c r="D24" s="182"/>
      <c r="E24" s="182"/>
      <c r="F24" s="182"/>
      <c r="G24" s="11">
        <v>17</v>
      </c>
      <c r="H24" s="53">
        <v>11685880</v>
      </c>
      <c r="I24" s="53">
        <f>+H24-4630180</f>
        <v>7055700</v>
      </c>
      <c r="J24" s="53">
        <v>6479918</v>
      </c>
      <c r="K24" s="53">
        <f>+J24-4927034</f>
        <v>1552884</v>
      </c>
    </row>
    <row r="25" spans="1:11" ht="12.75" customHeight="1" x14ac:dyDescent="0.2">
      <c r="A25" s="182" t="s">
        <v>109</v>
      </c>
      <c r="B25" s="182"/>
      <c r="C25" s="182"/>
      <c r="D25" s="182"/>
      <c r="E25" s="182"/>
      <c r="F25" s="182"/>
      <c r="G25" s="11">
        <v>18</v>
      </c>
      <c r="H25" s="53">
        <v>1221815</v>
      </c>
      <c r="I25" s="53">
        <f>+H25-934959</f>
        <v>286856</v>
      </c>
      <c r="J25" s="53">
        <v>1204500</v>
      </c>
      <c r="K25" s="53">
        <f>+J25-992903</f>
        <v>211597</v>
      </c>
    </row>
    <row r="26" spans="1:11" ht="12.75" customHeight="1" x14ac:dyDescent="0.2">
      <c r="A26" s="186" t="s">
        <v>442</v>
      </c>
      <c r="B26" s="186"/>
      <c r="C26" s="186"/>
      <c r="D26" s="186"/>
      <c r="E26" s="186"/>
      <c r="F26" s="186"/>
      <c r="G26" s="12">
        <v>19</v>
      </c>
      <c r="H26" s="52">
        <f>H27+H28</f>
        <v>541145</v>
      </c>
      <c r="I26" s="52">
        <f>I27+I28</f>
        <v>541145</v>
      </c>
      <c r="J26" s="52">
        <f>J27+J28</f>
        <v>131</v>
      </c>
      <c r="K26" s="52">
        <f>K27+K28</f>
        <v>131</v>
      </c>
    </row>
    <row r="27" spans="1:11" ht="12.75" customHeight="1" x14ac:dyDescent="0.2">
      <c r="A27" s="216" t="s">
        <v>123</v>
      </c>
      <c r="B27" s="216"/>
      <c r="C27" s="216"/>
      <c r="D27" s="216"/>
      <c r="E27" s="216"/>
      <c r="F27" s="216"/>
      <c r="G27" s="11">
        <v>20</v>
      </c>
      <c r="H27" s="53">
        <v>0</v>
      </c>
      <c r="I27" s="53">
        <f t="shared" si="0"/>
        <v>0</v>
      </c>
      <c r="J27" s="53">
        <v>0</v>
      </c>
      <c r="K27" s="53">
        <f t="shared" si="1"/>
        <v>0</v>
      </c>
    </row>
    <row r="28" spans="1:11" ht="12.75" customHeight="1" x14ac:dyDescent="0.2">
      <c r="A28" s="216" t="s">
        <v>124</v>
      </c>
      <c r="B28" s="216"/>
      <c r="C28" s="216"/>
      <c r="D28" s="216"/>
      <c r="E28" s="216"/>
      <c r="F28" s="216"/>
      <c r="G28" s="11">
        <v>21</v>
      </c>
      <c r="H28" s="53">
        <v>541145</v>
      </c>
      <c r="I28" s="53">
        <f t="shared" si="0"/>
        <v>541145</v>
      </c>
      <c r="J28" s="53">
        <v>131</v>
      </c>
      <c r="K28" s="53">
        <f t="shared" si="1"/>
        <v>131</v>
      </c>
    </row>
    <row r="29" spans="1:11" ht="12.75" customHeight="1" x14ac:dyDescent="0.2">
      <c r="A29" s="186" t="s">
        <v>443</v>
      </c>
      <c r="B29" s="186"/>
      <c r="C29" s="186"/>
      <c r="D29" s="186"/>
      <c r="E29" s="186"/>
      <c r="F29" s="186"/>
      <c r="G29" s="12">
        <v>22</v>
      </c>
      <c r="H29" s="52">
        <f>SUM(H30:H35)</f>
        <v>1897746</v>
      </c>
      <c r="I29" s="52">
        <f>SUM(I30:I35)</f>
        <v>701221</v>
      </c>
      <c r="J29" s="52">
        <f>SUM(J30:J35)</f>
        <v>585933</v>
      </c>
      <c r="K29" s="52">
        <f>SUM(K30:K35)</f>
        <v>577205</v>
      </c>
    </row>
    <row r="30" spans="1:11" ht="12.75" customHeight="1" x14ac:dyDescent="0.2">
      <c r="A30" s="216" t="s">
        <v>125</v>
      </c>
      <c r="B30" s="216"/>
      <c r="C30" s="216"/>
      <c r="D30" s="216"/>
      <c r="E30" s="216"/>
      <c r="F30" s="216"/>
      <c r="G30" s="11">
        <v>23</v>
      </c>
      <c r="H30" s="53">
        <v>295207</v>
      </c>
      <c r="I30" s="53">
        <f t="shared" si="0"/>
        <v>295207</v>
      </c>
      <c r="J30" s="53">
        <v>343991</v>
      </c>
      <c r="K30" s="53">
        <f t="shared" si="1"/>
        <v>343991</v>
      </c>
    </row>
    <row r="31" spans="1:11" ht="12.75" customHeight="1" x14ac:dyDescent="0.2">
      <c r="A31" s="216" t="s">
        <v>126</v>
      </c>
      <c r="B31" s="216"/>
      <c r="C31" s="216"/>
      <c r="D31" s="216"/>
      <c r="E31" s="216"/>
      <c r="F31" s="216"/>
      <c r="G31" s="11">
        <v>24</v>
      </c>
      <c r="H31" s="53">
        <v>0</v>
      </c>
      <c r="I31" s="53">
        <f t="shared" si="0"/>
        <v>0</v>
      </c>
      <c r="J31" s="53">
        <v>0</v>
      </c>
      <c r="K31" s="53">
        <f t="shared" si="1"/>
        <v>0</v>
      </c>
    </row>
    <row r="32" spans="1:11" ht="12.75" customHeight="1" x14ac:dyDescent="0.2">
      <c r="A32" s="216" t="s">
        <v>127</v>
      </c>
      <c r="B32" s="216"/>
      <c r="C32" s="216"/>
      <c r="D32" s="216"/>
      <c r="E32" s="216"/>
      <c r="F32" s="216"/>
      <c r="G32" s="11">
        <v>25</v>
      </c>
      <c r="H32" s="53">
        <v>1602539</v>
      </c>
      <c r="I32" s="53">
        <f>+H32-1196525</f>
        <v>406014</v>
      </c>
      <c r="J32" s="53">
        <v>241942</v>
      </c>
      <c r="K32" s="53">
        <f>+J32-8728</f>
        <v>233214</v>
      </c>
    </row>
    <row r="33" spans="1:11" ht="12.75" customHeight="1" x14ac:dyDescent="0.2">
      <c r="A33" s="216" t="s">
        <v>128</v>
      </c>
      <c r="B33" s="216"/>
      <c r="C33" s="216"/>
      <c r="D33" s="216"/>
      <c r="E33" s="216"/>
      <c r="F33" s="216"/>
      <c r="G33" s="11">
        <v>26</v>
      </c>
      <c r="H33" s="53">
        <v>0</v>
      </c>
      <c r="I33" s="53">
        <f t="shared" si="0"/>
        <v>0</v>
      </c>
      <c r="J33" s="53">
        <v>0</v>
      </c>
      <c r="K33" s="53">
        <f t="shared" si="1"/>
        <v>0</v>
      </c>
    </row>
    <row r="34" spans="1:11" ht="12.75" customHeight="1" x14ac:dyDescent="0.2">
      <c r="A34" s="216" t="s">
        <v>129</v>
      </c>
      <c r="B34" s="216"/>
      <c r="C34" s="216"/>
      <c r="D34" s="216"/>
      <c r="E34" s="216"/>
      <c r="F34" s="216"/>
      <c r="G34" s="11">
        <v>27</v>
      </c>
      <c r="H34" s="53">
        <v>0</v>
      </c>
      <c r="I34" s="53">
        <f t="shared" si="0"/>
        <v>0</v>
      </c>
      <c r="J34" s="53">
        <v>0</v>
      </c>
      <c r="K34" s="53">
        <f t="shared" si="1"/>
        <v>0</v>
      </c>
    </row>
    <row r="35" spans="1:11" ht="12.75" customHeight="1" x14ac:dyDescent="0.2">
      <c r="A35" s="216" t="s">
        <v>130</v>
      </c>
      <c r="B35" s="216"/>
      <c r="C35" s="216"/>
      <c r="D35" s="216"/>
      <c r="E35" s="216"/>
      <c r="F35" s="216"/>
      <c r="G35" s="11">
        <v>28</v>
      </c>
      <c r="H35" s="53">
        <v>0</v>
      </c>
      <c r="I35" s="53">
        <f t="shared" si="0"/>
        <v>0</v>
      </c>
      <c r="J35" s="53">
        <v>0</v>
      </c>
      <c r="K35" s="53">
        <f t="shared" si="1"/>
        <v>0</v>
      </c>
    </row>
    <row r="36" spans="1:11" ht="12.75" customHeight="1" x14ac:dyDescent="0.2">
      <c r="A36" s="182" t="s">
        <v>110</v>
      </c>
      <c r="B36" s="182"/>
      <c r="C36" s="182"/>
      <c r="D36" s="182"/>
      <c r="E36" s="182"/>
      <c r="F36" s="182"/>
      <c r="G36" s="11">
        <v>29</v>
      </c>
      <c r="H36" s="53">
        <v>110510</v>
      </c>
      <c r="I36" s="53">
        <f>+H36-81700</f>
        <v>28810</v>
      </c>
      <c r="J36" s="53">
        <v>72171</v>
      </c>
      <c r="K36" s="53">
        <f>+J36-57626</f>
        <v>14545</v>
      </c>
    </row>
    <row r="37" spans="1:11" ht="12.75" customHeight="1" x14ac:dyDescent="0.2">
      <c r="A37" s="213" t="s">
        <v>361</v>
      </c>
      <c r="B37" s="213"/>
      <c r="C37" s="213"/>
      <c r="D37" s="213"/>
      <c r="E37" s="213"/>
      <c r="F37" s="213"/>
      <c r="G37" s="12">
        <v>30</v>
      </c>
      <c r="H37" s="52">
        <f>SUM(H38:H47)</f>
        <v>481429</v>
      </c>
      <c r="I37" s="52">
        <f>SUM(I38:I47)</f>
        <v>-258462</v>
      </c>
      <c r="J37" s="52">
        <f>SUM(J38:J47)</f>
        <v>95051</v>
      </c>
      <c r="K37" s="52">
        <f>SUM(K38:K47)</f>
        <v>-110925</v>
      </c>
    </row>
    <row r="38" spans="1:11" ht="12.75" customHeight="1" x14ac:dyDescent="0.2">
      <c r="A38" s="182" t="s">
        <v>131</v>
      </c>
      <c r="B38" s="182"/>
      <c r="C38" s="182"/>
      <c r="D38" s="182"/>
      <c r="E38" s="182"/>
      <c r="F38" s="182"/>
      <c r="G38" s="11">
        <v>31</v>
      </c>
      <c r="H38" s="53">
        <v>0</v>
      </c>
      <c r="I38" s="53">
        <f t="shared" si="0"/>
        <v>0</v>
      </c>
      <c r="J38" s="53">
        <v>0</v>
      </c>
      <c r="K38" s="53">
        <f t="shared" si="1"/>
        <v>0</v>
      </c>
    </row>
    <row r="39" spans="1:11" ht="25.15" customHeight="1" x14ac:dyDescent="0.2">
      <c r="A39" s="182" t="s">
        <v>132</v>
      </c>
      <c r="B39" s="182"/>
      <c r="C39" s="182"/>
      <c r="D39" s="182"/>
      <c r="E39" s="182"/>
      <c r="F39" s="182"/>
      <c r="G39" s="11">
        <v>32</v>
      </c>
      <c r="H39" s="53">
        <v>0</v>
      </c>
      <c r="I39" s="53">
        <f t="shared" si="0"/>
        <v>0</v>
      </c>
      <c r="J39" s="53">
        <v>0</v>
      </c>
      <c r="K39" s="53">
        <f t="shared" si="1"/>
        <v>0</v>
      </c>
    </row>
    <row r="40" spans="1:11" ht="25.15" customHeight="1" x14ac:dyDescent="0.2">
      <c r="A40" s="182" t="s">
        <v>133</v>
      </c>
      <c r="B40" s="182"/>
      <c r="C40" s="182"/>
      <c r="D40" s="182"/>
      <c r="E40" s="182"/>
      <c r="F40" s="182"/>
      <c r="G40" s="11">
        <v>33</v>
      </c>
      <c r="H40" s="53">
        <v>0</v>
      </c>
      <c r="I40" s="53">
        <f t="shared" si="0"/>
        <v>0</v>
      </c>
      <c r="J40" s="53">
        <v>0</v>
      </c>
      <c r="K40" s="53">
        <f t="shared" si="1"/>
        <v>0</v>
      </c>
    </row>
    <row r="41" spans="1:11" ht="25.15" customHeight="1" x14ac:dyDescent="0.2">
      <c r="A41" s="182" t="s">
        <v>134</v>
      </c>
      <c r="B41" s="182"/>
      <c r="C41" s="182"/>
      <c r="D41" s="182"/>
      <c r="E41" s="182"/>
      <c r="F41" s="182"/>
      <c r="G41" s="11">
        <v>34</v>
      </c>
      <c r="H41" s="53">
        <v>0</v>
      </c>
      <c r="I41" s="53">
        <f t="shared" si="0"/>
        <v>0</v>
      </c>
      <c r="J41" s="53">
        <v>0</v>
      </c>
      <c r="K41" s="53">
        <f t="shared" si="1"/>
        <v>0</v>
      </c>
    </row>
    <row r="42" spans="1:11" ht="25.15" customHeight="1" x14ac:dyDescent="0.2">
      <c r="A42" s="182" t="s">
        <v>135</v>
      </c>
      <c r="B42" s="182"/>
      <c r="C42" s="182"/>
      <c r="D42" s="182"/>
      <c r="E42" s="182"/>
      <c r="F42" s="182"/>
      <c r="G42" s="11">
        <v>35</v>
      </c>
      <c r="H42" s="53">
        <v>0</v>
      </c>
      <c r="I42" s="53">
        <f t="shared" si="0"/>
        <v>0</v>
      </c>
      <c r="J42" s="53">
        <v>0</v>
      </c>
      <c r="K42" s="53">
        <f t="shared" si="1"/>
        <v>0</v>
      </c>
    </row>
    <row r="43" spans="1:11" ht="12.75" customHeight="1" x14ac:dyDescent="0.2">
      <c r="A43" s="182" t="s">
        <v>136</v>
      </c>
      <c r="B43" s="182"/>
      <c r="C43" s="182"/>
      <c r="D43" s="182"/>
      <c r="E43" s="182"/>
      <c r="F43" s="182"/>
      <c r="G43" s="11">
        <v>36</v>
      </c>
      <c r="H43" s="53">
        <v>0</v>
      </c>
      <c r="I43" s="53">
        <f t="shared" si="0"/>
        <v>0</v>
      </c>
      <c r="J43" s="53">
        <v>0</v>
      </c>
      <c r="K43" s="53">
        <f t="shared" si="1"/>
        <v>0</v>
      </c>
    </row>
    <row r="44" spans="1:11" ht="12.75" customHeight="1" x14ac:dyDescent="0.2">
      <c r="A44" s="182" t="s">
        <v>137</v>
      </c>
      <c r="B44" s="182"/>
      <c r="C44" s="182"/>
      <c r="D44" s="182"/>
      <c r="E44" s="182"/>
      <c r="F44" s="182"/>
      <c r="G44" s="11">
        <v>37</v>
      </c>
      <c r="H44" s="53">
        <v>27770</v>
      </c>
      <c r="I44" s="53">
        <f>+H44-1579</f>
        <v>26191</v>
      </c>
      <c r="J44" s="53">
        <v>94307</v>
      </c>
      <c r="K44" s="53">
        <f>+J44-21548</f>
        <v>72759</v>
      </c>
    </row>
    <row r="45" spans="1:11" ht="12.75" customHeight="1" x14ac:dyDescent="0.2">
      <c r="A45" s="182" t="s">
        <v>138</v>
      </c>
      <c r="B45" s="182"/>
      <c r="C45" s="182"/>
      <c r="D45" s="182"/>
      <c r="E45" s="182"/>
      <c r="F45" s="182"/>
      <c r="G45" s="11">
        <v>38</v>
      </c>
      <c r="H45" s="53">
        <v>453067</v>
      </c>
      <c r="I45" s="53">
        <f>+H45-737720</f>
        <v>-284653</v>
      </c>
      <c r="J45" s="53">
        <v>0</v>
      </c>
      <c r="K45" s="53">
        <f>+J45-183684</f>
        <v>-183684</v>
      </c>
    </row>
    <row r="46" spans="1:11" ht="12.75" customHeight="1" x14ac:dyDescent="0.2">
      <c r="A46" s="182" t="s">
        <v>139</v>
      </c>
      <c r="B46" s="182"/>
      <c r="C46" s="182"/>
      <c r="D46" s="182"/>
      <c r="E46" s="182"/>
      <c r="F46" s="182"/>
      <c r="G46" s="11">
        <v>39</v>
      </c>
      <c r="H46" s="53">
        <v>0</v>
      </c>
      <c r="I46" s="53">
        <f t="shared" si="0"/>
        <v>0</v>
      </c>
      <c r="J46" s="53">
        <v>0</v>
      </c>
      <c r="K46" s="53">
        <f t="shared" si="1"/>
        <v>0</v>
      </c>
    </row>
    <row r="47" spans="1:11" ht="12.75" customHeight="1" x14ac:dyDescent="0.2">
      <c r="A47" s="182" t="s">
        <v>140</v>
      </c>
      <c r="B47" s="182"/>
      <c r="C47" s="182"/>
      <c r="D47" s="182"/>
      <c r="E47" s="182"/>
      <c r="F47" s="182"/>
      <c r="G47" s="11">
        <v>40</v>
      </c>
      <c r="H47" s="53">
        <v>592</v>
      </c>
      <c r="I47" s="53">
        <f>+H47-592</f>
        <v>0</v>
      </c>
      <c r="J47" s="53">
        <v>744</v>
      </c>
      <c r="K47" s="53">
        <f>+J47-744</f>
        <v>0</v>
      </c>
    </row>
    <row r="48" spans="1:11" ht="12.75" customHeight="1" x14ac:dyDescent="0.2">
      <c r="A48" s="213" t="s">
        <v>362</v>
      </c>
      <c r="B48" s="213"/>
      <c r="C48" s="213"/>
      <c r="D48" s="213"/>
      <c r="E48" s="213"/>
      <c r="F48" s="213"/>
      <c r="G48" s="12">
        <v>41</v>
      </c>
      <c r="H48" s="52">
        <f>SUM(H49:H55)</f>
        <v>90309</v>
      </c>
      <c r="I48" s="52">
        <f>SUM(I49:I55)</f>
        <v>23259</v>
      </c>
      <c r="J48" s="52">
        <f>SUM(J49:J55)</f>
        <v>453946</v>
      </c>
      <c r="K48" s="52">
        <f>SUM(K49:K55)</f>
        <v>415087</v>
      </c>
    </row>
    <row r="49" spans="1:11" ht="25.15" customHeight="1" x14ac:dyDescent="0.2">
      <c r="A49" s="182" t="s">
        <v>141</v>
      </c>
      <c r="B49" s="182"/>
      <c r="C49" s="182"/>
      <c r="D49" s="182"/>
      <c r="E49" s="182"/>
      <c r="F49" s="182"/>
      <c r="G49" s="11">
        <v>42</v>
      </c>
      <c r="H49" s="53">
        <v>0</v>
      </c>
      <c r="I49" s="53">
        <f t="shared" si="0"/>
        <v>0</v>
      </c>
      <c r="J49" s="53">
        <v>0</v>
      </c>
      <c r="K49" s="53">
        <f t="shared" si="1"/>
        <v>0</v>
      </c>
    </row>
    <row r="50" spans="1:11" ht="12.75" customHeight="1" x14ac:dyDescent="0.2">
      <c r="A50" s="206" t="s">
        <v>142</v>
      </c>
      <c r="B50" s="206"/>
      <c r="C50" s="206"/>
      <c r="D50" s="206"/>
      <c r="E50" s="206"/>
      <c r="F50" s="206"/>
      <c r="G50" s="11">
        <v>43</v>
      </c>
      <c r="H50" s="53">
        <v>0</v>
      </c>
      <c r="I50" s="53">
        <f t="shared" si="0"/>
        <v>0</v>
      </c>
      <c r="J50" s="53">
        <v>0</v>
      </c>
      <c r="K50" s="53">
        <f t="shared" si="1"/>
        <v>0</v>
      </c>
    </row>
    <row r="51" spans="1:11" ht="12.75" customHeight="1" x14ac:dyDescent="0.2">
      <c r="A51" s="206" t="s">
        <v>143</v>
      </c>
      <c r="B51" s="206"/>
      <c r="C51" s="206"/>
      <c r="D51" s="206"/>
      <c r="E51" s="206"/>
      <c r="F51" s="206"/>
      <c r="G51" s="11">
        <v>44</v>
      </c>
      <c r="H51" s="53">
        <v>90309</v>
      </c>
      <c r="I51" s="53">
        <f>+H51-67050</f>
        <v>23259</v>
      </c>
      <c r="J51" s="53">
        <v>47300</v>
      </c>
      <c r="K51" s="53">
        <f>+J51-38859</f>
        <v>8441</v>
      </c>
    </row>
    <row r="52" spans="1:11" ht="12.75" customHeight="1" x14ac:dyDescent="0.2">
      <c r="A52" s="206" t="s">
        <v>144</v>
      </c>
      <c r="B52" s="206"/>
      <c r="C52" s="206"/>
      <c r="D52" s="206"/>
      <c r="E52" s="206"/>
      <c r="F52" s="206"/>
      <c r="G52" s="11">
        <v>45</v>
      </c>
      <c r="H52" s="53">
        <v>0</v>
      </c>
      <c r="I52" s="53">
        <f t="shared" si="0"/>
        <v>0</v>
      </c>
      <c r="J52" s="53">
        <v>406646</v>
      </c>
      <c r="K52" s="53">
        <f>+J52-0</f>
        <v>406646</v>
      </c>
    </row>
    <row r="53" spans="1:11" ht="12.75" customHeight="1" x14ac:dyDescent="0.2">
      <c r="A53" s="206" t="s">
        <v>145</v>
      </c>
      <c r="B53" s="206"/>
      <c r="C53" s="206"/>
      <c r="D53" s="206"/>
      <c r="E53" s="206"/>
      <c r="F53" s="206"/>
      <c r="G53" s="11">
        <v>46</v>
      </c>
      <c r="H53" s="53">
        <v>0</v>
      </c>
      <c r="I53" s="53">
        <f t="shared" si="0"/>
        <v>0</v>
      </c>
      <c r="J53" s="53">
        <v>0</v>
      </c>
      <c r="K53" s="53">
        <f t="shared" si="1"/>
        <v>0</v>
      </c>
    </row>
    <row r="54" spans="1:11" ht="12.75" customHeight="1" x14ac:dyDescent="0.2">
      <c r="A54" s="206" t="s">
        <v>146</v>
      </c>
      <c r="B54" s="206"/>
      <c r="C54" s="206"/>
      <c r="D54" s="206"/>
      <c r="E54" s="206"/>
      <c r="F54" s="206"/>
      <c r="G54" s="11">
        <v>47</v>
      </c>
      <c r="H54" s="53">
        <v>0</v>
      </c>
      <c r="I54" s="53">
        <f t="shared" si="0"/>
        <v>0</v>
      </c>
      <c r="J54" s="53">
        <v>0</v>
      </c>
      <c r="K54" s="53">
        <f t="shared" si="1"/>
        <v>0</v>
      </c>
    </row>
    <row r="55" spans="1:11" ht="12.75" customHeight="1" x14ac:dyDescent="0.2">
      <c r="A55" s="206" t="s">
        <v>147</v>
      </c>
      <c r="B55" s="206"/>
      <c r="C55" s="206"/>
      <c r="D55" s="206"/>
      <c r="E55" s="206"/>
      <c r="F55" s="206"/>
      <c r="G55" s="11">
        <v>48</v>
      </c>
      <c r="H55" s="53">
        <v>0</v>
      </c>
      <c r="I55" s="53">
        <f t="shared" si="0"/>
        <v>0</v>
      </c>
      <c r="J55" s="53">
        <v>0</v>
      </c>
      <c r="K55" s="53">
        <f t="shared" si="1"/>
        <v>0</v>
      </c>
    </row>
    <row r="56" spans="1:11" ht="22.15" customHeight="1" x14ac:dyDescent="0.2">
      <c r="A56" s="215" t="s">
        <v>148</v>
      </c>
      <c r="B56" s="215"/>
      <c r="C56" s="215"/>
      <c r="D56" s="215"/>
      <c r="E56" s="215"/>
      <c r="F56" s="215"/>
      <c r="G56" s="11">
        <v>49</v>
      </c>
      <c r="H56" s="53">
        <v>0</v>
      </c>
      <c r="I56" s="53">
        <f t="shared" si="0"/>
        <v>0</v>
      </c>
      <c r="J56" s="53">
        <v>0</v>
      </c>
      <c r="K56" s="53">
        <f t="shared" si="1"/>
        <v>0</v>
      </c>
    </row>
    <row r="57" spans="1:11" ht="12.75" customHeight="1" x14ac:dyDescent="0.2">
      <c r="A57" s="215" t="s">
        <v>149</v>
      </c>
      <c r="B57" s="215"/>
      <c r="C57" s="215"/>
      <c r="D57" s="215"/>
      <c r="E57" s="215"/>
      <c r="F57" s="215"/>
      <c r="G57" s="11">
        <v>50</v>
      </c>
      <c r="H57" s="53">
        <v>0</v>
      </c>
      <c r="I57" s="53">
        <f t="shared" si="0"/>
        <v>0</v>
      </c>
      <c r="J57" s="53">
        <v>0</v>
      </c>
      <c r="K57" s="53">
        <f t="shared" si="1"/>
        <v>0</v>
      </c>
    </row>
    <row r="58" spans="1:11" ht="24.6" customHeight="1" x14ac:dyDescent="0.2">
      <c r="A58" s="215" t="s">
        <v>150</v>
      </c>
      <c r="B58" s="215"/>
      <c r="C58" s="215"/>
      <c r="D58" s="215"/>
      <c r="E58" s="215"/>
      <c r="F58" s="215"/>
      <c r="G58" s="11">
        <v>51</v>
      </c>
      <c r="H58" s="53">
        <v>0</v>
      </c>
      <c r="I58" s="53">
        <f t="shared" si="0"/>
        <v>0</v>
      </c>
      <c r="J58" s="53">
        <v>0</v>
      </c>
      <c r="K58" s="53">
        <f t="shared" si="1"/>
        <v>0</v>
      </c>
    </row>
    <row r="59" spans="1:11" ht="12.75" customHeight="1" x14ac:dyDescent="0.2">
      <c r="A59" s="215" t="s">
        <v>151</v>
      </c>
      <c r="B59" s="215"/>
      <c r="C59" s="215"/>
      <c r="D59" s="215"/>
      <c r="E59" s="215"/>
      <c r="F59" s="215"/>
      <c r="G59" s="11">
        <v>52</v>
      </c>
      <c r="H59" s="53">
        <v>0</v>
      </c>
      <c r="I59" s="53">
        <f t="shared" si="0"/>
        <v>0</v>
      </c>
      <c r="J59" s="53">
        <v>0</v>
      </c>
      <c r="K59" s="53">
        <f t="shared" si="1"/>
        <v>0</v>
      </c>
    </row>
    <row r="60" spans="1:11" ht="12.75" customHeight="1" x14ac:dyDescent="0.2">
      <c r="A60" s="213" t="s">
        <v>363</v>
      </c>
      <c r="B60" s="213"/>
      <c r="C60" s="213"/>
      <c r="D60" s="213"/>
      <c r="E60" s="213"/>
      <c r="F60" s="213"/>
      <c r="G60" s="12">
        <v>53</v>
      </c>
      <c r="H60" s="52">
        <f>H8+H37+H56+H57</f>
        <v>85580571</v>
      </c>
      <c r="I60" s="52">
        <f t="shared" ref="I60:K60" si="2">I8+I37+I56+I57</f>
        <v>20821324</v>
      </c>
      <c r="J60" s="52">
        <f t="shared" si="2"/>
        <v>85478197</v>
      </c>
      <c r="K60" s="52">
        <f t="shared" si="2"/>
        <v>19900883</v>
      </c>
    </row>
    <row r="61" spans="1:11" ht="12.75" customHeight="1" x14ac:dyDescent="0.2">
      <c r="A61" s="213" t="s">
        <v>364</v>
      </c>
      <c r="B61" s="213"/>
      <c r="C61" s="213"/>
      <c r="D61" s="213"/>
      <c r="E61" s="213"/>
      <c r="F61" s="213"/>
      <c r="G61" s="12">
        <v>54</v>
      </c>
      <c r="H61" s="52">
        <f>H14+H48+H58+H59</f>
        <v>77597868</v>
      </c>
      <c r="I61" s="52">
        <f t="shared" ref="I61:K61" si="3">I14+I48+I58+I59</f>
        <v>25487784</v>
      </c>
      <c r="J61" s="52">
        <f t="shared" si="3"/>
        <v>79963925</v>
      </c>
      <c r="K61" s="52">
        <f t="shared" si="3"/>
        <v>21320529</v>
      </c>
    </row>
    <row r="62" spans="1:11" ht="12.75" customHeight="1" x14ac:dyDescent="0.2">
      <c r="A62" s="213" t="s">
        <v>365</v>
      </c>
      <c r="B62" s="213"/>
      <c r="C62" s="213"/>
      <c r="D62" s="213"/>
      <c r="E62" s="213"/>
      <c r="F62" s="213"/>
      <c r="G62" s="12">
        <v>55</v>
      </c>
      <c r="H62" s="52">
        <f>H60-H61</f>
        <v>7982703</v>
      </c>
      <c r="I62" s="52">
        <f t="shared" ref="I62:K62" si="4">I60-I61</f>
        <v>-4666460</v>
      </c>
      <c r="J62" s="52">
        <f t="shared" si="4"/>
        <v>5514272</v>
      </c>
      <c r="K62" s="52">
        <f t="shared" si="4"/>
        <v>-1419646</v>
      </c>
    </row>
    <row r="63" spans="1:11" ht="12.75" customHeight="1" x14ac:dyDescent="0.2">
      <c r="A63" s="214" t="s">
        <v>366</v>
      </c>
      <c r="B63" s="214"/>
      <c r="C63" s="214"/>
      <c r="D63" s="214"/>
      <c r="E63" s="214"/>
      <c r="F63" s="214"/>
      <c r="G63" s="12">
        <v>56</v>
      </c>
      <c r="H63" s="52">
        <f>+IF((H60-H61)&gt;0,(H60-H61),0)</f>
        <v>7982703</v>
      </c>
      <c r="I63" s="52">
        <f t="shared" ref="I63:K63" si="5">+IF((I60-I61)&gt;0,(I60-I61),0)</f>
        <v>0</v>
      </c>
      <c r="J63" s="52">
        <f t="shared" si="5"/>
        <v>5514272</v>
      </c>
      <c r="K63" s="52">
        <f t="shared" si="5"/>
        <v>0</v>
      </c>
    </row>
    <row r="64" spans="1:11" ht="12.75" customHeight="1" x14ac:dyDescent="0.2">
      <c r="A64" s="214" t="s">
        <v>367</v>
      </c>
      <c r="B64" s="214"/>
      <c r="C64" s="214"/>
      <c r="D64" s="214"/>
      <c r="E64" s="214"/>
      <c r="F64" s="214"/>
      <c r="G64" s="12">
        <v>57</v>
      </c>
      <c r="H64" s="52">
        <f>+IF((H60-H61)&lt;0,(H60-H61),0)</f>
        <v>0</v>
      </c>
      <c r="I64" s="52">
        <f t="shared" ref="I64:K64" si="6">+IF((I60-I61)&lt;0,(I60-I61),0)</f>
        <v>-4666460</v>
      </c>
      <c r="J64" s="52">
        <f t="shared" si="6"/>
        <v>0</v>
      </c>
      <c r="K64" s="52">
        <f t="shared" si="6"/>
        <v>-1419646</v>
      </c>
    </row>
    <row r="65" spans="1:11" ht="12.75" customHeight="1" x14ac:dyDescent="0.2">
      <c r="A65" s="215" t="s">
        <v>111</v>
      </c>
      <c r="B65" s="215"/>
      <c r="C65" s="215"/>
      <c r="D65" s="215"/>
      <c r="E65" s="215"/>
      <c r="F65" s="215"/>
      <c r="G65" s="11">
        <v>58</v>
      </c>
      <c r="H65" s="53">
        <v>2640321</v>
      </c>
      <c r="I65" s="53">
        <f>+H65-2276849</f>
        <v>363472</v>
      </c>
      <c r="J65" s="53">
        <v>1007569</v>
      </c>
      <c r="K65" s="53">
        <f>+J65-1248105</f>
        <v>-240536</v>
      </c>
    </row>
    <row r="66" spans="1:11" ht="12.75" customHeight="1" x14ac:dyDescent="0.2">
      <c r="A66" s="213" t="s">
        <v>368</v>
      </c>
      <c r="B66" s="213"/>
      <c r="C66" s="213"/>
      <c r="D66" s="213"/>
      <c r="E66" s="213"/>
      <c r="F66" s="213"/>
      <c r="G66" s="12">
        <v>59</v>
      </c>
      <c r="H66" s="52">
        <f>H62-H65</f>
        <v>5342382</v>
      </c>
      <c r="I66" s="52">
        <f t="shared" ref="I66:K66" si="7">I62-I65</f>
        <v>-5029932</v>
      </c>
      <c r="J66" s="52">
        <f t="shared" si="7"/>
        <v>4506703</v>
      </c>
      <c r="K66" s="52">
        <f t="shared" si="7"/>
        <v>-1179110</v>
      </c>
    </row>
    <row r="67" spans="1:11" ht="12.75" customHeight="1" x14ac:dyDescent="0.2">
      <c r="A67" s="214" t="s">
        <v>369</v>
      </c>
      <c r="B67" s="214"/>
      <c r="C67" s="214"/>
      <c r="D67" s="214"/>
      <c r="E67" s="214"/>
      <c r="F67" s="214"/>
      <c r="G67" s="12">
        <v>60</v>
      </c>
      <c r="H67" s="52">
        <f>+IF((H62-H65)&gt;0,(H62-H65),0)</f>
        <v>5342382</v>
      </c>
      <c r="I67" s="52">
        <f t="shared" ref="I67:K67" si="8">+IF((I62-I65)&gt;0,(I62-I65),0)</f>
        <v>0</v>
      </c>
      <c r="J67" s="52">
        <f t="shared" si="8"/>
        <v>4506703</v>
      </c>
      <c r="K67" s="52">
        <f t="shared" si="8"/>
        <v>0</v>
      </c>
    </row>
    <row r="68" spans="1:11" ht="12.75" customHeight="1" x14ac:dyDescent="0.2">
      <c r="A68" s="214" t="s">
        <v>370</v>
      </c>
      <c r="B68" s="214"/>
      <c r="C68" s="214"/>
      <c r="D68" s="214"/>
      <c r="E68" s="214"/>
      <c r="F68" s="214"/>
      <c r="G68" s="12">
        <v>61</v>
      </c>
      <c r="H68" s="52">
        <f>+IF((H62-H65)&lt;0,(H62-H65),0)</f>
        <v>0</v>
      </c>
      <c r="I68" s="52">
        <f t="shared" ref="I68:K68" si="9">+IF((I62-I65)&lt;0,(I62-I65),0)</f>
        <v>-5029932</v>
      </c>
      <c r="J68" s="52">
        <f t="shared" si="9"/>
        <v>0</v>
      </c>
      <c r="K68" s="52">
        <f t="shared" si="9"/>
        <v>-1179110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f t="shared" ref="I71:I73" si="10">+H71-0</f>
        <v>0</v>
      </c>
      <c r="J71" s="53">
        <v>0</v>
      </c>
      <c r="K71" s="53">
        <f t="shared" ref="K71:K73" si="11">+J71-0</f>
        <v>0</v>
      </c>
    </row>
    <row r="72" spans="1:11" ht="12.75" customHeight="1" x14ac:dyDescent="0.2">
      <c r="A72" s="206" t="s">
        <v>154</v>
      </c>
      <c r="B72" s="206"/>
      <c r="C72" s="206"/>
      <c r="D72" s="206"/>
      <c r="E72" s="206"/>
      <c r="F72" s="206"/>
      <c r="G72" s="11">
        <v>64</v>
      </c>
      <c r="H72" s="53">
        <v>0</v>
      </c>
      <c r="I72" s="53">
        <f t="shared" si="10"/>
        <v>0</v>
      </c>
      <c r="J72" s="53">
        <v>0</v>
      </c>
      <c r="K72" s="53">
        <f t="shared" si="11"/>
        <v>0</v>
      </c>
    </row>
    <row r="73" spans="1:11" ht="12.75" customHeight="1" x14ac:dyDescent="0.2">
      <c r="A73" s="215" t="s">
        <v>155</v>
      </c>
      <c r="B73" s="215"/>
      <c r="C73" s="215"/>
      <c r="D73" s="215"/>
      <c r="E73" s="215"/>
      <c r="F73" s="215"/>
      <c r="G73" s="11">
        <v>65</v>
      </c>
      <c r="H73" s="53">
        <v>0</v>
      </c>
      <c r="I73" s="53">
        <f t="shared" si="10"/>
        <v>0</v>
      </c>
      <c r="J73" s="53">
        <v>0</v>
      </c>
      <c r="K73" s="53">
        <f t="shared" si="11"/>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f t="shared" ref="I78:I79" si="12">+H78-0</f>
        <v>0</v>
      </c>
      <c r="J78" s="54">
        <v>0</v>
      </c>
      <c r="K78" s="54">
        <f t="shared" ref="K78:K79" si="13">+J78-0</f>
        <v>0</v>
      </c>
    </row>
    <row r="79" spans="1:11" ht="12.75" customHeight="1" x14ac:dyDescent="0.2">
      <c r="A79" s="212" t="s">
        <v>376</v>
      </c>
      <c r="B79" s="212"/>
      <c r="C79" s="212"/>
      <c r="D79" s="212"/>
      <c r="E79" s="212"/>
      <c r="F79" s="212"/>
      <c r="G79" s="46">
        <v>70</v>
      </c>
      <c r="H79" s="54">
        <v>0</v>
      </c>
      <c r="I79" s="54">
        <f t="shared" si="12"/>
        <v>0</v>
      </c>
      <c r="J79" s="54">
        <v>0</v>
      </c>
      <c r="K79" s="54">
        <f t="shared" si="13"/>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f t="shared" ref="I86:I87" si="14">+H86-0</f>
        <v>0</v>
      </c>
      <c r="J86" s="56">
        <v>0</v>
      </c>
      <c r="K86" s="56">
        <f t="shared" ref="K86:K87" si="15">+J86-0</f>
        <v>0</v>
      </c>
    </row>
    <row r="87" spans="1:11" ht="12.75" customHeight="1" x14ac:dyDescent="0.2">
      <c r="A87" s="203" t="s">
        <v>158</v>
      </c>
      <c r="B87" s="203"/>
      <c r="C87" s="203"/>
      <c r="D87" s="203"/>
      <c r="E87" s="203"/>
      <c r="F87" s="203"/>
      <c r="G87" s="11">
        <v>77</v>
      </c>
      <c r="H87" s="56">
        <v>0</v>
      </c>
      <c r="I87" s="56">
        <f t="shared" si="14"/>
        <v>0</v>
      </c>
      <c r="J87" s="56">
        <v>0</v>
      </c>
      <c r="K87" s="56">
        <f t="shared" si="15"/>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f>+H66</f>
        <v>5342382</v>
      </c>
      <c r="I89" s="56">
        <f>+I66</f>
        <v>-5029932</v>
      </c>
      <c r="J89" s="56">
        <f t="shared" ref="J89:K89" si="16">+J66</f>
        <v>4506703</v>
      </c>
      <c r="K89" s="56">
        <f t="shared" si="16"/>
        <v>-1179110</v>
      </c>
    </row>
    <row r="90" spans="1:11" ht="24" customHeight="1" x14ac:dyDescent="0.2">
      <c r="A90" s="184" t="s">
        <v>437</v>
      </c>
      <c r="B90" s="184"/>
      <c r="C90" s="184"/>
      <c r="D90" s="184"/>
      <c r="E90" s="184"/>
      <c r="F90" s="184"/>
      <c r="G90" s="12">
        <v>79</v>
      </c>
      <c r="H90" s="73">
        <f>H91+H98</f>
        <v>-148</v>
      </c>
      <c r="I90" s="73">
        <f>I91+I98</f>
        <v>-148</v>
      </c>
      <c r="J90" s="73">
        <f t="shared" ref="J90:K90" si="17">J91+J98</f>
        <v>-46475</v>
      </c>
      <c r="K90" s="73">
        <f t="shared" si="17"/>
        <v>-46475</v>
      </c>
    </row>
    <row r="91" spans="1:11" ht="24" customHeight="1" x14ac:dyDescent="0.2">
      <c r="A91" s="204" t="s">
        <v>444</v>
      </c>
      <c r="B91" s="204"/>
      <c r="C91" s="204"/>
      <c r="D91" s="204"/>
      <c r="E91" s="204"/>
      <c r="F91" s="204"/>
      <c r="G91" s="12">
        <v>80</v>
      </c>
      <c r="H91" s="73">
        <f>SUM(H92:H96)</f>
        <v>0</v>
      </c>
      <c r="I91" s="73">
        <f>SUM(I92:I96)</f>
        <v>0</v>
      </c>
      <c r="J91" s="73">
        <f t="shared" ref="J91:K91" si="18">SUM(J92:J96)</f>
        <v>0</v>
      </c>
      <c r="K91" s="73">
        <f t="shared" si="18"/>
        <v>0</v>
      </c>
    </row>
    <row r="92" spans="1:11" ht="25.5" customHeight="1" x14ac:dyDescent="0.2">
      <c r="A92" s="206" t="s">
        <v>382</v>
      </c>
      <c r="B92" s="206"/>
      <c r="C92" s="206"/>
      <c r="D92" s="206"/>
      <c r="E92" s="206"/>
      <c r="F92" s="206"/>
      <c r="G92" s="12">
        <v>81</v>
      </c>
      <c r="H92" s="56">
        <v>0</v>
      </c>
      <c r="I92" s="56">
        <f t="shared" ref="I92:I97" si="19">+H92-0</f>
        <v>0</v>
      </c>
      <c r="J92" s="56">
        <v>0</v>
      </c>
      <c r="K92" s="56">
        <f t="shared" ref="K92:K97" si="20">+J92-0</f>
        <v>0</v>
      </c>
    </row>
    <row r="93" spans="1:11" ht="38.25" customHeight="1" x14ac:dyDescent="0.2">
      <c r="A93" s="206" t="s">
        <v>383</v>
      </c>
      <c r="B93" s="206"/>
      <c r="C93" s="206"/>
      <c r="D93" s="206"/>
      <c r="E93" s="206"/>
      <c r="F93" s="206"/>
      <c r="G93" s="12">
        <v>82</v>
      </c>
      <c r="H93" s="56">
        <v>0</v>
      </c>
      <c r="I93" s="56">
        <f t="shared" si="19"/>
        <v>0</v>
      </c>
      <c r="J93" s="56">
        <v>0</v>
      </c>
      <c r="K93" s="56">
        <f t="shared" si="20"/>
        <v>0</v>
      </c>
    </row>
    <row r="94" spans="1:11" ht="38.25" customHeight="1" x14ac:dyDescent="0.2">
      <c r="A94" s="206" t="s">
        <v>384</v>
      </c>
      <c r="B94" s="206"/>
      <c r="C94" s="206"/>
      <c r="D94" s="206"/>
      <c r="E94" s="206"/>
      <c r="F94" s="206"/>
      <c r="G94" s="12">
        <v>83</v>
      </c>
      <c r="H94" s="56">
        <v>0</v>
      </c>
      <c r="I94" s="56">
        <f t="shared" si="19"/>
        <v>0</v>
      </c>
      <c r="J94" s="56">
        <v>0</v>
      </c>
      <c r="K94" s="56">
        <f t="shared" si="20"/>
        <v>0</v>
      </c>
    </row>
    <row r="95" spans="1:11" x14ac:dyDescent="0.2">
      <c r="A95" s="206" t="s">
        <v>385</v>
      </c>
      <c r="B95" s="206"/>
      <c r="C95" s="206"/>
      <c r="D95" s="206"/>
      <c r="E95" s="206"/>
      <c r="F95" s="206"/>
      <c r="G95" s="12">
        <v>84</v>
      </c>
      <c r="H95" s="56">
        <v>0</v>
      </c>
      <c r="I95" s="56">
        <f t="shared" si="19"/>
        <v>0</v>
      </c>
      <c r="J95" s="56">
        <v>0</v>
      </c>
      <c r="K95" s="56">
        <f t="shared" si="20"/>
        <v>0</v>
      </c>
    </row>
    <row r="96" spans="1:11" x14ac:dyDescent="0.2">
      <c r="A96" s="206" t="s">
        <v>386</v>
      </c>
      <c r="B96" s="206"/>
      <c r="C96" s="206"/>
      <c r="D96" s="206"/>
      <c r="E96" s="206"/>
      <c r="F96" s="206"/>
      <c r="G96" s="12">
        <v>85</v>
      </c>
      <c r="H96" s="56">
        <v>0</v>
      </c>
      <c r="I96" s="56">
        <f t="shared" si="19"/>
        <v>0</v>
      </c>
      <c r="J96" s="56">
        <v>0</v>
      </c>
      <c r="K96" s="56">
        <f t="shared" si="20"/>
        <v>0</v>
      </c>
    </row>
    <row r="97" spans="1:11" ht="26.25" customHeight="1" x14ac:dyDescent="0.2">
      <c r="A97" s="206" t="s">
        <v>387</v>
      </c>
      <c r="B97" s="206"/>
      <c r="C97" s="206"/>
      <c r="D97" s="206"/>
      <c r="E97" s="206"/>
      <c r="F97" s="206"/>
      <c r="G97" s="12">
        <v>86</v>
      </c>
      <c r="H97" s="56">
        <v>0</v>
      </c>
      <c r="I97" s="56">
        <f t="shared" si="19"/>
        <v>0</v>
      </c>
      <c r="J97" s="56">
        <v>0</v>
      </c>
      <c r="K97" s="56">
        <f t="shared" si="20"/>
        <v>0</v>
      </c>
    </row>
    <row r="98" spans="1:11" ht="25.5" customHeight="1" x14ac:dyDescent="0.2">
      <c r="A98" s="204" t="s">
        <v>438</v>
      </c>
      <c r="B98" s="204"/>
      <c r="C98" s="204"/>
      <c r="D98" s="204"/>
      <c r="E98" s="204"/>
      <c r="F98" s="204"/>
      <c r="G98" s="12">
        <v>87</v>
      </c>
      <c r="H98" s="73">
        <f>SUM(H99:H106)</f>
        <v>-148</v>
      </c>
      <c r="I98" s="73">
        <f>SUM(I99:I106)</f>
        <v>-148</v>
      </c>
      <c r="J98" s="73">
        <f t="shared" ref="J98:K98" si="21">SUM(J99:J106)</f>
        <v>-46475</v>
      </c>
      <c r="K98" s="73">
        <f t="shared" si="21"/>
        <v>-46475</v>
      </c>
    </row>
    <row r="99" spans="1:11" x14ac:dyDescent="0.2">
      <c r="A99" s="205" t="s">
        <v>160</v>
      </c>
      <c r="B99" s="205"/>
      <c r="C99" s="205"/>
      <c r="D99" s="205"/>
      <c r="E99" s="205"/>
      <c r="F99" s="205"/>
      <c r="G99" s="11">
        <v>88</v>
      </c>
      <c r="H99" s="56">
        <v>0</v>
      </c>
      <c r="I99" s="56">
        <f t="shared" ref="I99:I107" si="22">+H99-0</f>
        <v>0</v>
      </c>
      <c r="J99" s="56">
        <v>0</v>
      </c>
      <c r="K99" s="56">
        <f t="shared" ref="K99:K107" si="23">+J99-0</f>
        <v>0</v>
      </c>
    </row>
    <row r="100" spans="1:11" ht="36" customHeight="1" x14ac:dyDescent="0.2">
      <c r="A100" s="206" t="s">
        <v>388</v>
      </c>
      <c r="B100" s="206"/>
      <c r="C100" s="206"/>
      <c r="D100" s="206"/>
      <c r="E100" s="206"/>
      <c r="F100" s="206"/>
      <c r="G100" s="11">
        <v>89</v>
      </c>
      <c r="H100" s="56">
        <v>-148</v>
      </c>
      <c r="I100" s="56">
        <f t="shared" si="22"/>
        <v>-148</v>
      </c>
      <c r="J100" s="56">
        <v>2500</v>
      </c>
      <c r="K100" s="56">
        <f t="shared" si="23"/>
        <v>2500</v>
      </c>
    </row>
    <row r="101" spans="1:11" ht="22.15" customHeight="1" x14ac:dyDescent="0.2">
      <c r="A101" s="205" t="s">
        <v>161</v>
      </c>
      <c r="B101" s="205"/>
      <c r="C101" s="205"/>
      <c r="D101" s="205"/>
      <c r="E101" s="205"/>
      <c r="F101" s="205"/>
      <c r="G101" s="11">
        <v>90</v>
      </c>
      <c r="H101" s="56">
        <v>0</v>
      </c>
      <c r="I101" s="56">
        <f t="shared" si="22"/>
        <v>0</v>
      </c>
      <c r="J101" s="56">
        <v>0</v>
      </c>
      <c r="K101" s="56">
        <f t="shared" si="23"/>
        <v>0</v>
      </c>
    </row>
    <row r="102" spans="1:11" ht="22.15" customHeight="1" x14ac:dyDescent="0.2">
      <c r="A102" s="205" t="s">
        <v>162</v>
      </c>
      <c r="B102" s="205"/>
      <c r="C102" s="205"/>
      <c r="D102" s="205"/>
      <c r="E102" s="205"/>
      <c r="F102" s="205"/>
      <c r="G102" s="11">
        <v>91</v>
      </c>
      <c r="H102" s="56">
        <v>0</v>
      </c>
      <c r="I102" s="56">
        <f t="shared" si="22"/>
        <v>0</v>
      </c>
      <c r="J102" s="56">
        <v>0</v>
      </c>
      <c r="K102" s="56">
        <f t="shared" si="23"/>
        <v>0</v>
      </c>
    </row>
    <row r="103" spans="1:11" ht="22.15" customHeight="1" x14ac:dyDescent="0.2">
      <c r="A103" s="205" t="s">
        <v>163</v>
      </c>
      <c r="B103" s="205"/>
      <c r="C103" s="205"/>
      <c r="D103" s="205"/>
      <c r="E103" s="205"/>
      <c r="F103" s="205"/>
      <c r="G103" s="11">
        <v>92</v>
      </c>
      <c r="H103" s="56">
        <v>0</v>
      </c>
      <c r="I103" s="56">
        <f t="shared" si="22"/>
        <v>0</v>
      </c>
      <c r="J103" s="56">
        <v>0</v>
      </c>
      <c r="K103" s="56">
        <f t="shared" si="23"/>
        <v>0</v>
      </c>
    </row>
    <row r="104" spans="1:11" ht="12.75" customHeight="1" x14ac:dyDescent="0.2">
      <c r="A104" s="206" t="s">
        <v>389</v>
      </c>
      <c r="B104" s="206"/>
      <c r="C104" s="206"/>
      <c r="D104" s="206"/>
      <c r="E104" s="206"/>
      <c r="F104" s="206"/>
      <c r="G104" s="11">
        <v>93</v>
      </c>
      <c r="H104" s="56">
        <v>0</v>
      </c>
      <c r="I104" s="56">
        <f t="shared" si="22"/>
        <v>0</v>
      </c>
      <c r="J104" s="56">
        <v>0</v>
      </c>
      <c r="K104" s="56">
        <f t="shared" si="23"/>
        <v>0</v>
      </c>
    </row>
    <row r="105" spans="1:11" ht="26.25" customHeight="1" x14ac:dyDescent="0.2">
      <c r="A105" s="206" t="s">
        <v>390</v>
      </c>
      <c r="B105" s="206"/>
      <c r="C105" s="206"/>
      <c r="D105" s="206"/>
      <c r="E105" s="206"/>
      <c r="F105" s="206"/>
      <c r="G105" s="11">
        <v>94</v>
      </c>
      <c r="H105" s="56">
        <v>0</v>
      </c>
      <c r="I105" s="56">
        <f t="shared" si="22"/>
        <v>0</v>
      </c>
      <c r="J105" s="56">
        <v>0</v>
      </c>
      <c r="K105" s="56">
        <f t="shared" si="23"/>
        <v>0</v>
      </c>
    </row>
    <row r="106" spans="1:11" x14ac:dyDescent="0.2">
      <c r="A106" s="206" t="s">
        <v>391</v>
      </c>
      <c r="B106" s="206"/>
      <c r="C106" s="206"/>
      <c r="D106" s="206"/>
      <c r="E106" s="206"/>
      <c r="F106" s="206"/>
      <c r="G106" s="11">
        <v>95</v>
      </c>
      <c r="H106" s="56">
        <v>0</v>
      </c>
      <c r="I106" s="56">
        <f t="shared" si="22"/>
        <v>0</v>
      </c>
      <c r="J106" s="56">
        <v>-48975</v>
      </c>
      <c r="K106" s="56">
        <f t="shared" si="23"/>
        <v>-48975</v>
      </c>
    </row>
    <row r="107" spans="1:11" ht="24.75" customHeight="1" x14ac:dyDescent="0.2">
      <c r="A107" s="206" t="s">
        <v>392</v>
      </c>
      <c r="B107" s="206"/>
      <c r="C107" s="206"/>
      <c r="D107" s="206"/>
      <c r="E107" s="206"/>
      <c r="F107" s="206"/>
      <c r="G107" s="11">
        <v>96</v>
      </c>
      <c r="H107" s="56">
        <v>-27</v>
      </c>
      <c r="I107" s="56">
        <f t="shared" si="22"/>
        <v>-27</v>
      </c>
      <c r="J107" s="56">
        <v>450</v>
      </c>
      <c r="K107" s="56">
        <f t="shared" si="23"/>
        <v>450</v>
      </c>
    </row>
    <row r="108" spans="1:11" ht="22.9" customHeight="1" x14ac:dyDescent="0.2">
      <c r="A108" s="184" t="s">
        <v>439</v>
      </c>
      <c r="B108" s="184"/>
      <c r="C108" s="184"/>
      <c r="D108" s="184"/>
      <c r="E108" s="184"/>
      <c r="F108" s="184"/>
      <c r="G108" s="12">
        <v>97</v>
      </c>
      <c r="H108" s="73">
        <f>H91+H98-H107-H97</f>
        <v>-121</v>
      </c>
      <c r="I108" s="73">
        <f>I91+I98-I107-I97</f>
        <v>-121</v>
      </c>
      <c r="J108" s="73">
        <f t="shared" ref="J108:K108" si="24">J91+J98-J107-J97</f>
        <v>-46925</v>
      </c>
      <c r="K108" s="73">
        <f t="shared" si="24"/>
        <v>-46925</v>
      </c>
    </row>
    <row r="109" spans="1:11" ht="12.75" customHeight="1" x14ac:dyDescent="0.2">
      <c r="A109" s="184" t="s">
        <v>393</v>
      </c>
      <c r="B109" s="184"/>
      <c r="C109" s="184"/>
      <c r="D109" s="184"/>
      <c r="E109" s="184"/>
      <c r="F109" s="184"/>
      <c r="G109" s="12">
        <v>98</v>
      </c>
      <c r="H109" s="55">
        <f>H89+H108</f>
        <v>5342261</v>
      </c>
      <c r="I109" s="55">
        <f>I89+I108</f>
        <v>-5030053</v>
      </c>
      <c r="J109" s="55">
        <f t="shared" ref="J109:K109" si="25">J89+J108</f>
        <v>4459778</v>
      </c>
      <c r="K109" s="55">
        <f t="shared" si="25"/>
        <v>-1226035</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P51" sqref="P5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465</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450</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f>+ROUND(60145677/7.5345,0)</f>
        <v>7982703</v>
      </c>
      <c r="I8" s="68">
        <v>5514272</v>
      </c>
    </row>
    <row r="9" spans="1:9" ht="12.75" customHeight="1" x14ac:dyDescent="0.2">
      <c r="A9" s="237" t="s">
        <v>171</v>
      </c>
      <c r="B9" s="237"/>
      <c r="C9" s="237"/>
      <c r="D9" s="237"/>
      <c r="E9" s="237"/>
      <c r="F9" s="237"/>
      <c r="G9" s="69">
        <v>2</v>
      </c>
      <c r="H9" s="70">
        <f>H10+H11+H12+H13+H14+H15+H16+H17</f>
        <v>8042310</v>
      </c>
      <c r="I9" s="70">
        <f>I10+I11+I12+I13+I14+I15+I16+I17</f>
        <v>17111011</v>
      </c>
    </row>
    <row r="10" spans="1:9" ht="12.75" customHeight="1" x14ac:dyDescent="0.2">
      <c r="A10" s="216" t="s">
        <v>172</v>
      </c>
      <c r="B10" s="216"/>
      <c r="C10" s="216"/>
      <c r="D10" s="216"/>
      <c r="E10" s="216"/>
      <c r="F10" s="216"/>
      <c r="G10" s="67">
        <v>3</v>
      </c>
      <c r="H10" s="68">
        <f>+ROUND(88047264/7.5345,0)</f>
        <v>11685880</v>
      </c>
      <c r="I10" s="68">
        <v>6479918</v>
      </c>
    </row>
    <row r="11" spans="1:9" ht="22.15" customHeight="1" x14ac:dyDescent="0.2">
      <c r="A11" s="216" t="s">
        <v>173</v>
      </c>
      <c r="B11" s="216"/>
      <c r="C11" s="216"/>
      <c r="D11" s="216"/>
      <c r="E11" s="216"/>
      <c r="F11" s="216"/>
      <c r="G11" s="67">
        <v>4</v>
      </c>
      <c r="H11" s="68">
        <f>ROUND(-31001/7.5345,0)</f>
        <v>-4115</v>
      </c>
      <c r="I11" s="68">
        <v>-6855</v>
      </c>
    </row>
    <row r="12" spans="1:9" ht="23.45" customHeight="1" x14ac:dyDescent="0.2">
      <c r="A12" s="216" t="s">
        <v>174</v>
      </c>
      <c r="B12" s="216"/>
      <c r="C12" s="216"/>
      <c r="D12" s="216"/>
      <c r="E12" s="216"/>
      <c r="F12" s="216"/>
      <c r="G12" s="67">
        <v>5</v>
      </c>
      <c r="H12" s="68">
        <f>ROUND(4076344/7.5345,0)</f>
        <v>541024</v>
      </c>
      <c r="I12" s="68">
        <v>-2369</v>
      </c>
    </row>
    <row r="13" spans="1:9" ht="12.75" customHeight="1" x14ac:dyDescent="0.2">
      <c r="A13" s="216" t="s">
        <v>175</v>
      </c>
      <c r="B13" s="216"/>
      <c r="C13" s="216"/>
      <c r="D13" s="216"/>
      <c r="E13" s="216"/>
      <c r="F13" s="216"/>
      <c r="G13" s="67">
        <v>6</v>
      </c>
      <c r="H13" s="68">
        <f>ROUND(-213696/7.5345,0)</f>
        <v>-28362</v>
      </c>
      <c r="I13" s="68">
        <v>-95051</v>
      </c>
    </row>
    <row r="14" spans="1:9" ht="12.75" customHeight="1" x14ac:dyDescent="0.2">
      <c r="A14" s="216" t="s">
        <v>176</v>
      </c>
      <c r="B14" s="216"/>
      <c r="C14" s="216"/>
      <c r="D14" s="216"/>
      <c r="E14" s="216"/>
      <c r="F14" s="216"/>
      <c r="G14" s="67">
        <v>7</v>
      </c>
      <c r="H14" s="68">
        <f>ROUND(680435/7.5345,0)</f>
        <v>90309</v>
      </c>
      <c r="I14" s="68">
        <v>47300</v>
      </c>
    </row>
    <row r="15" spans="1:9" ht="12.75" customHeight="1" x14ac:dyDescent="0.2">
      <c r="A15" s="216" t="s">
        <v>177</v>
      </c>
      <c r="B15" s="216"/>
      <c r="C15" s="216"/>
      <c r="D15" s="216"/>
      <c r="E15" s="216"/>
      <c r="F15" s="216"/>
      <c r="G15" s="67">
        <v>8</v>
      </c>
      <c r="H15" s="68">
        <f>ROUND(12259790/7.5345,0)</f>
        <v>1627154</v>
      </c>
      <c r="I15" s="68">
        <v>293392</v>
      </c>
    </row>
    <row r="16" spans="1:9" ht="12.75" customHeight="1" x14ac:dyDescent="0.2">
      <c r="A16" s="216" t="s">
        <v>178</v>
      </c>
      <c r="B16" s="216"/>
      <c r="C16" s="216"/>
      <c r="D16" s="216"/>
      <c r="E16" s="216"/>
      <c r="F16" s="216"/>
      <c r="G16" s="67">
        <v>9</v>
      </c>
      <c r="H16" s="68">
        <f>ROUND(1166710/7.5345,0)</f>
        <v>154849</v>
      </c>
      <c r="I16" s="68">
        <v>-394986</v>
      </c>
    </row>
    <row r="17" spans="1:9" ht="25.15" customHeight="1" x14ac:dyDescent="0.2">
      <c r="A17" s="216" t="s">
        <v>179</v>
      </c>
      <c r="B17" s="216"/>
      <c r="C17" s="216"/>
      <c r="D17" s="216"/>
      <c r="E17" s="216"/>
      <c r="F17" s="216"/>
      <c r="G17" s="67">
        <v>10</v>
      </c>
      <c r="H17" s="68">
        <f>ROUND(-45391058/7.5345,0)</f>
        <v>-6024429</v>
      </c>
      <c r="I17" s="68">
        <v>10789662</v>
      </c>
    </row>
    <row r="18" spans="1:9" ht="28.15" customHeight="1" x14ac:dyDescent="0.2">
      <c r="A18" s="233" t="s">
        <v>306</v>
      </c>
      <c r="B18" s="233"/>
      <c r="C18" s="233"/>
      <c r="D18" s="233"/>
      <c r="E18" s="233"/>
      <c r="F18" s="233"/>
      <c r="G18" s="69">
        <v>11</v>
      </c>
      <c r="H18" s="70">
        <f>H8+H9</f>
        <v>16025013</v>
      </c>
      <c r="I18" s="70">
        <f>I8+I9</f>
        <v>22625283</v>
      </c>
    </row>
    <row r="19" spans="1:9" ht="12.75" customHeight="1" x14ac:dyDescent="0.2">
      <c r="A19" s="237" t="s">
        <v>180</v>
      </c>
      <c r="B19" s="237"/>
      <c r="C19" s="237"/>
      <c r="D19" s="237"/>
      <c r="E19" s="237"/>
      <c r="F19" s="237"/>
      <c r="G19" s="69">
        <v>12</v>
      </c>
      <c r="H19" s="70">
        <f>H20+H21+H22+H23</f>
        <v>411269</v>
      </c>
      <c r="I19" s="70">
        <f>I20+I21+I22+I23</f>
        <v>-6570804</v>
      </c>
    </row>
    <row r="20" spans="1:9" ht="12.75" customHeight="1" x14ac:dyDescent="0.2">
      <c r="A20" s="216" t="s">
        <v>181</v>
      </c>
      <c r="B20" s="216"/>
      <c r="C20" s="216"/>
      <c r="D20" s="216"/>
      <c r="E20" s="216"/>
      <c r="F20" s="216"/>
      <c r="G20" s="67">
        <v>13</v>
      </c>
      <c r="H20" s="68">
        <f>ROUND(88394458/7.5345,0)</f>
        <v>11731961</v>
      </c>
      <c r="I20" s="68">
        <v>-4426490</v>
      </c>
    </row>
    <row r="21" spans="1:9" ht="12.75" customHeight="1" x14ac:dyDescent="0.2">
      <c r="A21" s="216" t="s">
        <v>182</v>
      </c>
      <c r="B21" s="216"/>
      <c r="C21" s="216"/>
      <c r="D21" s="216"/>
      <c r="E21" s="216"/>
      <c r="F21" s="216"/>
      <c r="G21" s="67">
        <v>14</v>
      </c>
      <c r="H21" s="68">
        <f>ROUND(-54881952/7.5345,0)</f>
        <v>-7284087</v>
      </c>
      <c r="I21" s="68">
        <v>-1908509</v>
      </c>
    </row>
    <row r="22" spans="1:9" ht="12.75" customHeight="1" x14ac:dyDescent="0.2">
      <c r="A22" s="216" t="s">
        <v>183</v>
      </c>
      <c r="B22" s="216"/>
      <c r="C22" s="216"/>
      <c r="D22" s="216"/>
      <c r="E22" s="216"/>
      <c r="F22" s="216"/>
      <c r="G22" s="67">
        <v>15</v>
      </c>
      <c r="H22" s="68">
        <f>ROUND(-30413803/7.5345,0)</f>
        <v>-4036605</v>
      </c>
      <c r="I22" s="68">
        <v>-235805</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16436282</v>
      </c>
      <c r="I24" s="70">
        <f>I18+I19</f>
        <v>16054479</v>
      </c>
    </row>
    <row r="25" spans="1:9" ht="12.75" customHeight="1" x14ac:dyDescent="0.2">
      <c r="A25" s="182" t="s">
        <v>186</v>
      </c>
      <c r="B25" s="182"/>
      <c r="C25" s="182"/>
      <c r="D25" s="182"/>
      <c r="E25" s="182"/>
      <c r="F25" s="182"/>
      <c r="G25" s="67">
        <v>18</v>
      </c>
      <c r="H25" s="68">
        <f>ROUND(-587739/7.5345,0)</f>
        <v>-78006</v>
      </c>
      <c r="I25" s="68">
        <v>-71817</v>
      </c>
    </row>
    <row r="26" spans="1:9" ht="12.75" customHeight="1" x14ac:dyDescent="0.2">
      <c r="A26" s="182" t="s">
        <v>187</v>
      </c>
      <c r="B26" s="182"/>
      <c r="C26" s="182"/>
      <c r="D26" s="182"/>
      <c r="E26" s="182"/>
      <c r="F26" s="182"/>
      <c r="G26" s="67">
        <v>19</v>
      </c>
      <c r="H26" s="68">
        <f>ROUND(-5773872/7.5345,0)</f>
        <v>-766325</v>
      </c>
      <c r="I26" s="68">
        <v>-3045877</v>
      </c>
    </row>
    <row r="27" spans="1:9" ht="25.9" customHeight="1" x14ac:dyDescent="0.2">
      <c r="A27" s="234" t="s">
        <v>188</v>
      </c>
      <c r="B27" s="234"/>
      <c r="C27" s="234"/>
      <c r="D27" s="234"/>
      <c r="E27" s="234"/>
      <c r="F27" s="234"/>
      <c r="G27" s="69">
        <v>20</v>
      </c>
      <c r="H27" s="70">
        <f>H24+H25+H26</f>
        <v>15591951</v>
      </c>
      <c r="I27" s="70">
        <f>I24+I25+I26</f>
        <v>12936785</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f>ROUND(31001/7.5345,0)</f>
        <v>4115</v>
      </c>
      <c r="I29" s="71">
        <v>6855</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f>ROUND(4464/7.5345,0)</f>
        <v>592</v>
      </c>
      <c r="I32" s="71">
        <v>744</v>
      </c>
    </row>
    <row r="33" spans="1:9" ht="12.75" customHeight="1" x14ac:dyDescent="0.2">
      <c r="A33" s="182" t="s">
        <v>194</v>
      </c>
      <c r="B33" s="182"/>
      <c r="C33" s="182"/>
      <c r="D33" s="182"/>
      <c r="E33" s="182"/>
      <c r="F33" s="182"/>
      <c r="G33" s="67">
        <v>25</v>
      </c>
      <c r="H33" s="71">
        <v>0</v>
      </c>
      <c r="I33" s="71">
        <v>21600</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4707</v>
      </c>
      <c r="I35" s="72">
        <f>I29+I30+I31+I32+I33+I34</f>
        <v>29199</v>
      </c>
    </row>
    <row r="36" spans="1:9" ht="22.9" customHeight="1" x14ac:dyDescent="0.2">
      <c r="A36" s="182" t="s">
        <v>197</v>
      </c>
      <c r="B36" s="182"/>
      <c r="C36" s="182"/>
      <c r="D36" s="182"/>
      <c r="E36" s="182"/>
      <c r="F36" s="182"/>
      <c r="G36" s="67">
        <v>28</v>
      </c>
      <c r="H36" s="71">
        <f>ROUND(-9139817/7.5345,0)</f>
        <v>-1213062</v>
      </c>
      <c r="I36" s="71">
        <v>-15642037</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-65000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-49424</v>
      </c>
    </row>
    <row r="41" spans="1:9" ht="24" customHeight="1" x14ac:dyDescent="0.2">
      <c r="A41" s="233" t="s">
        <v>202</v>
      </c>
      <c r="B41" s="233"/>
      <c r="C41" s="233"/>
      <c r="D41" s="233"/>
      <c r="E41" s="233"/>
      <c r="F41" s="233"/>
      <c r="G41" s="69">
        <v>33</v>
      </c>
      <c r="H41" s="72">
        <f>H36+H37+H38+H39+H40</f>
        <v>-1213062</v>
      </c>
      <c r="I41" s="72">
        <f>I36+I37+I38+I39+I40</f>
        <v>-15756461</v>
      </c>
    </row>
    <row r="42" spans="1:9" ht="29.45" customHeight="1" x14ac:dyDescent="0.2">
      <c r="A42" s="234" t="s">
        <v>203</v>
      </c>
      <c r="B42" s="234"/>
      <c r="C42" s="234"/>
      <c r="D42" s="234"/>
      <c r="E42" s="234"/>
      <c r="F42" s="234"/>
      <c r="G42" s="69">
        <v>34</v>
      </c>
      <c r="H42" s="72">
        <f>H35+H41</f>
        <v>-1208355</v>
      </c>
      <c r="I42" s="72">
        <f>I35+I41</f>
        <v>-15727262</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0</v>
      </c>
      <c r="I48" s="72">
        <f>I44+I45+I46+I47</f>
        <v>0</v>
      </c>
    </row>
    <row r="49" spans="1:9" ht="24.6" customHeight="1" x14ac:dyDescent="0.2">
      <c r="A49" s="182" t="s">
        <v>305</v>
      </c>
      <c r="B49" s="182"/>
      <c r="C49" s="182"/>
      <c r="D49" s="182"/>
      <c r="E49" s="182"/>
      <c r="F49" s="182"/>
      <c r="G49" s="67">
        <v>40</v>
      </c>
      <c r="H49" s="71">
        <f>ROUND(-12326357/7.5345,0)</f>
        <v>-1635989</v>
      </c>
      <c r="I49" s="71">
        <v>-1321060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-1635989</v>
      </c>
      <c r="I54" s="72">
        <f>I49+I50+I51+I52+I53</f>
        <v>-1321060</v>
      </c>
    </row>
    <row r="55" spans="1:9" ht="29.45" customHeight="1" x14ac:dyDescent="0.2">
      <c r="A55" s="234" t="s">
        <v>215</v>
      </c>
      <c r="B55" s="234"/>
      <c r="C55" s="234"/>
      <c r="D55" s="234"/>
      <c r="E55" s="234"/>
      <c r="F55" s="234"/>
      <c r="G55" s="69">
        <v>46</v>
      </c>
      <c r="H55" s="72">
        <f>H48+H54</f>
        <v>-1635989</v>
      </c>
      <c r="I55" s="72">
        <f>I48+I54</f>
        <v>-1321060</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12747607</v>
      </c>
      <c r="I57" s="72">
        <f>I27+I42+I55+I56</f>
        <v>-4111537</v>
      </c>
    </row>
    <row r="58" spans="1:9" x14ac:dyDescent="0.2">
      <c r="A58" s="236" t="s">
        <v>218</v>
      </c>
      <c r="B58" s="236"/>
      <c r="C58" s="236"/>
      <c r="D58" s="236"/>
      <c r="E58" s="236"/>
      <c r="F58" s="236"/>
      <c r="G58" s="67">
        <v>49</v>
      </c>
      <c r="H58" s="71">
        <f>ROUND(35319348/7.5345,0)</f>
        <v>4687683</v>
      </c>
      <c r="I58" s="71">
        <v>17435290</v>
      </c>
    </row>
    <row r="59" spans="1:9" ht="31.15" customHeight="1" x14ac:dyDescent="0.2">
      <c r="A59" s="234" t="s">
        <v>219</v>
      </c>
      <c r="B59" s="234"/>
      <c r="C59" s="234"/>
      <c r="D59" s="234"/>
      <c r="E59" s="234"/>
      <c r="F59" s="234"/>
      <c r="G59" s="69">
        <v>50</v>
      </c>
      <c r="H59" s="72">
        <f>H57+H58</f>
        <v>17435290</v>
      </c>
      <c r="I59" s="72">
        <f>I57+I58</f>
        <v>13323753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9" zoomScale="80" zoomScaleNormal="100" zoomScaleSheetLayoutView="80" workbookViewId="0">
      <selection activeCell="N49" sqref="N4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45291</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22315014</v>
      </c>
      <c r="I7" s="33">
        <v>0</v>
      </c>
      <c r="J7" s="33">
        <v>1115751</v>
      </c>
      <c r="K7" s="33">
        <v>1664344</v>
      </c>
      <c r="L7" s="33">
        <v>1069185</v>
      </c>
      <c r="M7" s="33">
        <v>0</v>
      </c>
      <c r="N7" s="33">
        <v>13301366</v>
      </c>
      <c r="O7" s="33">
        <v>0</v>
      </c>
      <c r="P7" s="33">
        <v>0</v>
      </c>
      <c r="Q7" s="33">
        <v>0</v>
      </c>
      <c r="R7" s="33">
        <v>0</v>
      </c>
      <c r="S7" s="33">
        <v>0</v>
      </c>
      <c r="T7" s="33">
        <v>0</v>
      </c>
      <c r="U7" s="33">
        <v>0</v>
      </c>
      <c r="V7" s="33">
        <v>2500715</v>
      </c>
      <c r="W7" s="34">
        <f>H7+I7+J7+K7-L7+M7+N7+O7+P7+Q7+R7+U7+V7+S7+T7</f>
        <v>39828005</v>
      </c>
      <c r="X7" s="33">
        <v>0</v>
      </c>
      <c r="Y7" s="34">
        <f>W7+X7</f>
        <v>39828005</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22315014</v>
      </c>
      <c r="I10" s="34">
        <f t="shared" ref="I10:Y10" si="2">I7+I8+I9</f>
        <v>0</v>
      </c>
      <c r="J10" s="34">
        <f t="shared" si="2"/>
        <v>1115751</v>
      </c>
      <c r="K10" s="34">
        <f>K7+K8+K9</f>
        <v>1664344</v>
      </c>
      <c r="L10" s="34">
        <f t="shared" si="2"/>
        <v>1069185</v>
      </c>
      <c r="M10" s="34">
        <f t="shared" si="2"/>
        <v>0</v>
      </c>
      <c r="N10" s="34">
        <f t="shared" si="2"/>
        <v>13301366</v>
      </c>
      <c r="O10" s="34">
        <f t="shared" si="2"/>
        <v>0</v>
      </c>
      <c r="P10" s="34">
        <f t="shared" si="2"/>
        <v>0</v>
      </c>
      <c r="Q10" s="34">
        <f t="shared" si="2"/>
        <v>0</v>
      </c>
      <c r="R10" s="34">
        <f t="shared" si="2"/>
        <v>0</v>
      </c>
      <c r="S10" s="34">
        <f t="shared" si="2"/>
        <v>0</v>
      </c>
      <c r="T10" s="34">
        <f t="shared" si="2"/>
        <v>0</v>
      </c>
      <c r="U10" s="34">
        <f t="shared" si="2"/>
        <v>0</v>
      </c>
      <c r="V10" s="34">
        <f t="shared" si="2"/>
        <v>2500715</v>
      </c>
      <c r="W10" s="34">
        <f t="shared" si="2"/>
        <v>39828005</v>
      </c>
      <c r="X10" s="34">
        <f t="shared" si="2"/>
        <v>0</v>
      </c>
      <c r="Y10" s="34">
        <f t="shared" si="2"/>
        <v>39828005</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5342382</v>
      </c>
      <c r="W11" s="34">
        <f t="shared" ref="W11:W29" si="3">H11+I11+J11+K11-L11+M11+N11+O11+P11+Q11+R11+U11+V11+S11+T11</f>
        <v>5342382</v>
      </c>
      <c r="X11" s="33">
        <v>0</v>
      </c>
      <c r="Y11" s="34">
        <f t="shared" ref="Y11:Y29" si="4">W11+X11</f>
        <v>5342382</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-121</v>
      </c>
      <c r="O19" s="33">
        <v>0</v>
      </c>
      <c r="P19" s="33">
        <v>0</v>
      </c>
      <c r="Q19" s="33">
        <v>0</v>
      </c>
      <c r="R19" s="33">
        <v>0</v>
      </c>
      <c r="S19" s="33">
        <v>0</v>
      </c>
      <c r="T19" s="33">
        <v>0</v>
      </c>
      <c r="U19" s="33">
        <v>0</v>
      </c>
      <c r="V19" s="33">
        <v>0</v>
      </c>
      <c r="W19" s="34">
        <f t="shared" si="3"/>
        <v>-121</v>
      </c>
      <c r="X19" s="33">
        <v>0</v>
      </c>
      <c r="Y19" s="34">
        <f t="shared" si="4"/>
        <v>-121</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425</v>
      </c>
      <c r="B28" s="269"/>
      <c r="C28" s="269"/>
      <c r="D28" s="269"/>
      <c r="E28" s="269"/>
      <c r="F28" s="269"/>
      <c r="G28" s="6">
        <v>22</v>
      </c>
      <c r="H28" s="33">
        <v>0</v>
      </c>
      <c r="I28" s="33">
        <v>0</v>
      </c>
      <c r="J28" s="33">
        <v>0</v>
      </c>
      <c r="K28" s="33">
        <v>0</v>
      </c>
      <c r="L28" s="33">
        <v>0</v>
      </c>
      <c r="M28" s="33">
        <v>0</v>
      </c>
      <c r="N28" s="33">
        <v>2500715</v>
      </c>
      <c r="O28" s="33">
        <v>0</v>
      </c>
      <c r="P28" s="33">
        <v>0</v>
      </c>
      <c r="Q28" s="33">
        <v>0</v>
      </c>
      <c r="R28" s="33">
        <v>0</v>
      </c>
      <c r="S28" s="33">
        <v>0</v>
      </c>
      <c r="T28" s="33">
        <v>0</v>
      </c>
      <c r="U28" s="33">
        <v>0</v>
      </c>
      <c r="V28" s="33">
        <v>-2500715</v>
      </c>
      <c r="W28" s="34">
        <f t="shared" si="3"/>
        <v>0</v>
      </c>
      <c r="X28" s="33">
        <v>0</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22315014</v>
      </c>
      <c r="I30" s="36">
        <f t="shared" ref="I30:Y30" si="5">SUM(I10:I29)</f>
        <v>0</v>
      </c>
      <c r="J30" s="36">
        <f t="shared" si="5"/>
        <v>1115751</v>
      </c>
      <c r="K30" s="36">
        <f t="shared" si="5"/>
        <v>1664344</v>
      </c>
      <c r="L30" s="36">
        <f t="shared" si="5"/>
        <v>1069185</v>
      </c>
      <c r="M30" s="36">
        <f t="shared" si="5"/>
        <v>0</v>
      </c>
      <c r="N30" s="36">
        <f t="shared" si="5"/>
        <v>15801960</v>
      </c>
      <c r="O30" s="36">
        <f t="shared" si="5"/>
        <v>0</v>
      </c>
      <c r="P30" s="36">
        <f t="shared" si="5"/>
        <v>0</v>
      </c>
      <c r="Q30" s="36">
        <f t="shared" si="5"/>
        <v>0</v>
      </c>
      <c r="R30" s="36">
        <f t="shared" si="5"/>
        <v>0</v>
      </c>
      <c r="S30" s="36">
        <f t="shared" si="5"/>
        <v>0</v>
      </c>
      <c r="T30" s="36">
        <f t="shared" si="5"/>
        <v>0</v>
      </c>
      <c r="U30" s="36">
        <f t="shared" si="5"/>
        <v>0</v>
      </c>
      <c r="V30" s="36">
        <f t="shared" si="5"/>
        <v>5342382</v>
      </c>
      <c r="W30" s="36">
        <f t="shared" si="5"/>
        <v>45170266</v>
      </c>
      <c r="X30" s="36">
        <f t="shared" si="5"/>
        <v>0</v>
      </c>
      <c r="Y30" s="36">
        <f t="shared" si="5"/>
        <v>45170266</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-121</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-121</v>
      </c>
      <c r="X32" s="34">
        <f t="shared" si="6"/>
        <v>0</v>
      </c>
      <c r="Y32" s="34">
        <f t="shared" si="6"/>
        <v>-121</v>
      </c>
    </row>
    <row r="33" spans="1:25" ht="31.5" customHeight="1" x14ac:dyDescent="0.2">
      <c r="A33" s="267" t="s">
        <v>428</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-121</v>
      </c>
      <c r="O33" s="34">
        <f t="shared" si="8"/>
        <v>0</v>
      </c>
      <c r="P33" s="34">
        <f t="shared" si="8"/>
        <v>0</v>
      </c>
      <c r="Q33" s="34">
        <f t="shared" si="8"/>
        <v>0</v>
      </c>
      <c r="R33" s="34">
        <f t="shared" si="8"/>
        <v>0</v>
      </c>
      <c r="S33" s="34">
        <f t="shared" ref="S33:T33" si="9">S11+S32</f>
        <v>0</v>
      </c>
      <c r="T33" s="34">
        <f t="shared" si="9"/>
        <v>0</v>
      </c>
      <c r="U33" s="34">
        <f t="shared" si="8"/>
        <v>0</v>
      </c>
      <c r="V33" s="34">
        <f t="shared" si="8"/>
        <v>5342382</v>
      </c>
      <c r="W33" s="34">
        <f t="shared" si="8"/>
        <v>5342261</v>
      </c>
      <c r="X33" s="34">
        <f t="shared" si="8"/>
        <v>0</v>
      </c>
      <c r="Y33" s="34">
        <f t="shared" si="8"/>
        <v>5342261</v>
      </c>
    </row>
    <row r="34" spans="1:25" ht="30.75" customHeight="1" x14ac:dyDescent="0.2">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2500715</v>
      </c>
      <c r="O34" s="36">
        <f t="shared" si="10"/>
        <v>0</v>
      </c>
      <c r="P34" s="36">
        <f t="shared" si="10"/>
        <v>0</v>
      </c>
      <c r="Q34" s="36">
        <f t="shared" si="10"/>
        <v>0</v>
      </c>
      <c r="R34" s="36">
        <f t="shared" si="10"/>
        <v>0</v>
      </c>
      <c r="S34" s="36">
        <f t="shared" ref="S34:T34" si="11">SUM(S21:S29)</f>
        <v>0</v>
      </c>
      <c r="T34" s="36">
        <f t="shared" si="11"/>
        <v>0</v>
      </c>
      <c r="U34" s="36">
        <f t="shared" si="10"/>
        <v>0</v>
      </c>
      <c r="V34" s="36">
        <f t="shared" si="10"/>
        <v>-2500715</v>
      </c>
      <c r="W34" s="36">
        <f t="shared" si="10"/>
        <v>0</v>
      </c>
      <c r="X34" s="36">
        <f t="shared" si="10"/>
        <v>0</v>
      </c>
      <c r="Y34" s="36">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f t="shared" ref="H36:U36" si="12">+H30</f>
        <v>22315014</v>
      </c>
      <c r="I36" s="33">
        <f t="shared" si="12"/>
        <v>0</v>
      </c>
      <c r="J36" s="33">
        <f t="shared" si="12"/>
        <v>1115751</v>
      </c>
      <c r="K36" s="33">
        <f t="shared" si="12"/>
        <v>1664344</v>
      </c>
      <c r="L36" s="33">
        <f t="shared" si="12"/>
        <v>1069185</v>
      </c>
      <c r="M36" s="33">
        <f t="shared" si="12"/>
        <v>0</v>
      </c>
      <c r="N36" s="33">
        <f t="shared" si="12"/>
        <v>15801960</v>
      </c>
      <c r="O36" s="33">
        <f t="shared" si="12"/>
        <v>0</v>
      </c>
      <c r="P36" s="33">
        <f t="shared" si="12"/>
        <v>0</v>
      </c>
      <c r="Q36" s="33">
        <f t="shared" si="12"/>
        <v>0</v>
      </c>
      <c r="R36" s="33">
        <f t="shared" si="12"/>
        <v>0</v>
      </c>
      <c r="S36" s="33">
        <f t="shared" si="12"/>
        <v>0</v>
      </c>
      <c r="T36" s="33">
        <f t="shared" si="12"/>
        <v>0</v>
      </c>
      <c r="U36" s="33">
        <f t="shared" si="12"/>
        <v>0</v>
      </c>
      <c r="V36" s="33">
        <f>+V30</f>
        <v>5342382</v>
      </c>
      <c r="W36" s="37">
        <f>H36+I36+J36+K36-L36+M36+N36+O36+P36+Q36+R36+U36+V36+S36+T36</f>
        <v>45170266</v>
      </c>
      <c r="X36" s="33">
        <f>+X30</f>
        <v>0</v>
      </c>
      <c r="Y36" s="37">
        <f t="shared" ref="Y36:Y38" si="13">W36+X36</f>
        <v>45170266</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
      <c r="A39" s="275" t="s">
        <v>430</v>
      </c>
      <c r="B39" s="275"/>
      <c r="C39" s="275"/>
      <c r="D39" s="275"/>
      <c r="E39" s="275"/>
      <c r="F39" s="275"/>
      <c r="G39" s="7">
        <v>31</v>
      </c>
      <c r="H39" s="34">
        <f>H36+H37+H38</f>
        <v>22315014</v>
      </c>
      <c r="I39" s="34">
        <f t="shared" ref="I39:Y39" si="15">I36+I37+I38</f>
        <v>0</v>
      </c>
      <c r="J39" s="34">
        <f t="shared" si="15"/>
        <v>1115751</v>
      </c>
      <c r="K39" s="34">
        <f t="shared" si="15"/>
        <v>1664344</v>
      </c>
      <c r="L39" s="34">
        <f t="shared" si="15"/>
        <v>1069185</v>
      </c>
      <c r="M39" s="34">
        <f t="shared" si="15"/>
        <v>0</v>
      </c>
      <c r="N39" s="34">
        <f t="shared" si="15"/>
        <v>15801960</v>
      </c>
      <c r="O39" s="34">
        <f t="shared" si="15"/>
        <v>0</v>
      </c>
      <c r="P39" s="34">
        <f t="shared" si="15"/>
        <v>0</v>
      </c>
      <c r="Q39" s="34">
        <f t="shared" si="15"/>
        <v>0</v>
      </c>
      <c r="R39" s="34">
        <f t="shared" si="15"/>
        <v>0</v>
      </c>
      <c r="S39" s="34">
        <f t="shared" si="15"/>
        <v>0</v>
      </c>
      <c r="T39" s="34">
        <f t="shared" si="15"/>
        <v>0</v>
      </c>
      <c r="U39" s="34">
        <f t="shared" si="15"/>
        <v>0</v>
      </c>
      <c r="V39" s="34">
        <f t="shared" si="15"/>
        <v>5342382</v>
      </c>
      <c r="W39" s="34">
        <f t="shared" si="15"/>
        <v>45170266</v>
      </c>
      <c r="X39" s="34">
        <f t="shared" si="15"/>
        <v>0</v>
      </c>
      <c r="Y39" s="34">
        <f t="shared" si="15"/>
        <v>45170266</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4506703</v>
      </c>
      <c r="W40" s="37">
        <f t="shared" ref="W40:W58" si="16">H40+I40+J40+K40-L40+M40+N40+O40+P40+Q40+R40+U40+V40+S40+T40</f>
        <v>4506703</v>
      </c>
      <c r="X40" s="33">
        <v>0</v>
      </c>
      <c r="Y40" s="37">
        <f t="shared" ref="Y40:Y58" si="17">W40+X40</f>
        <v>4506703</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-8701</v>
      </c>
      <c r="O48" s="33">
        <v>0</v>
      </c>
      <c r="P48" s="33">
        <v>0</v>
      </c>
      <c r="Q48" s="33">
        <v>0</v>
      </c>
      <c r="R48" s="33">
        <v>0</v>
      </c>
      <c r="S48" s="33">
        <v>0</v>
      </c>
      <c r="T48" s="33">
        <v>0</v>
      </c>
      <c r="U48" s="33">
        <v>0</v>
      </c>
      <c r="V48" s="33">
        <f>-U48</f>
        <v>0</v>
      </c>
      <c r="W48" s="37">
        <f t="shared" si="16"/>
        <v>-8701</v>
      </c>
      <c r="X48" s="33">
        <v>0</v>
      </c>
      <c r="Y48" s="37">
        <f t="shared" si="17"/>
        <v>-8701</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x14ac:dyDescent="0.2">
      <c r="A57" s="269" t="s">
        <v>432</v>
      </c>
      <c r="B57" s="269"/>
      <c r="C57" s="269"/>
      <c r="D57" s="269"/>
      <c r="E57" s="269"/>
      <c r="F57" s="269"/>
      <c r="G57" s="6">
        <v>49</v>
      </c>
      <c r="H57" s="33">
        <v>0</v>
      </c>
      <c r="I57" s="33">
        <v>0</v>
      </c>
      <c r="J57" s="33">
        <v>0</v>
      </c>
      <c r="K57" s="33">
        <v>0</v>
      </c>
      <c r="L57" s="33">
        <v>0</v>
      </c>
      <c r="M57" s="33">
        <v>0</v>
      </c>
      <c r="N57" s="33">
        <v>5342382</v>
      </c>
      <c r="O57" s="33">
        <v>0</v>
      </c>
      <c r="P57" s="33">
        <v>0</v>
      </c>
      <c r="Q57" s="33">
        <v>0</v>
      </c>
      <c r="R57" s="33">
        <v>0</v>
      </c>
      <c r="S57" s="33">
        <v>0</v>
      </c>
      <c r="T57" s="33">
        <v>0</v>
      </c>
      <c r="U57" s="33">
        <v>0</v>
      </c>
      <c r="V57" s="33">
        <f>-N57</f>
        <v>-5342382</v>
      </c>
      <c r="W57" s="37">
        <f t="shared" si="16"/>
        <v>0</v>
      </c>
      <c r="X57" s="33">
        <v>0</v>
      </c>
      <c r="Y57" s="37">
        <f t="shared" si="17"/>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
      <c r="A59" s="270" t="s">
        <v>433</v>
      </c>
      <c r="B59" s="270"/>
      <c r="C59" s="270"/>
      <c r="D59" s="270"/>
      <c r="E59" s="270"/>
      <c r="F59" s="270"/>
      <c r="G59" s="8">
        <v>51</v>
      </c>
      <c r="H59" s="36">
        <f>SUM(H39:H58)</f>
        <v>22315014</v>
      </c>
      <c r="I59" s="36">
        <f t="shared" ref="I59:Y59" si="18">SUM(I39:I58)</f>
        <v>0</v>
      </c>
      <c r="J59" s="36">
        <f t="shared" si="18"/>
        <v>1115751</v>
      </c>
      <c r="K59" s="36">
        <f t="shared" si="18"/>
        <v>1664344</v>
      </c>
      <c r="L59" s="36">
        <f t="shared" si="18"/>
        <v>1069185</v>
      </c>
      <c r="M59" s="36">
        <f t="shared" si="18"/>
        <v>0</v>
      </c>
      <c r="N59" s="36">
        <f t="shared" si="18"/>
        <v>21135641</v>
      </c>
      <c r="O59" s="36">
        <f t="shared" si="18"/>
        <v>0</v>
      </c>
      <c r="P59" s="36">
        <f t="shared" si="18"/>
        <v>0</v>
      </c>
      <c r="Q59" s="36">
        <f t="shared" si="18"/>
        <v>0</v>
      </c>
      <c r="R59" s="36">
        <f t="shared" si="18"/>
        <v>0</v>
      </c>
      <c r="S59" s="36">
        <f t="shared" si="18"/>
        <v>0</v>
      </c>
      <c r="T59" s="36">
        <f t="shared" si="18"/>
        <v>0</v>
      </c>
      <c r="U59" s="36">
        <f t="shared" si="18"/>
        <v>0</v>
      </c>
      <c r="V59" s="36">
        <f t="shared" si="18"/>
        <v>4506703</v>
      </c>
      <c r="W59" s="36">
        <f t="shared" si="18"/>
        <v>49668268</v>
      </c>
      <c r="X59" s="36">
        <f t="shared" si="18"/>
        <v>0</v>
      </c>
      <c r="Y59" s="36">
        <f t="shared" si="18"/>
        <v>49668268</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9">SUM(I41:I49)</f>
        <v>0</v>
      </c>
      <c r="J61" s="37">
        <f t="shared" si="19"/>
        <v>0</v>
      </c>
      <c r="K61" s="37">
        <f t="shared" si="19"/>
        <v>0</v>
      </c>
      <c r="L61" s="37">
        <f t="shared" si="19"/>
        <v>0</v>
      </c>
      <c r="M61" s="37">
        <f t="shared" si="19"/>
        <v>0</v>
      </c>
      <c r="N61" s="37">
        <f t="shared" si="19"/>
        <v>-8701</v>
      </c>
      <c r="O61" s="37">
        <f t="shared" si="19"/>
        <v>0</v>
      </c>
      <c r="P61" s="37">
        <f t="shared" si="19"/>
        <v>0</v>
      </c>
      <c r="Q61" s="37">
        <f t="shared" si="19"/>
        <v>0</v>
      </c>
      <c r="R61" s="37">
        <f t="shared" si="19"/>
        <v>0</v>
      </c>
      <c r="S61" s="37">
        <f t="shared" ref="S61:T61" si="20">SUM(S41:S49)</f>
        <v>0</v>
      </c>
      <c r="T61" s="37">
        <f t="shared" si="20"/>
        <v>0</v>
      </c>
      <c r="U61" s="37">
        <f t="shared" si="19"/>
        <v>0</v>
      </c>
      <c r="V61" s="37">
        <f t="shared" si="19"/>
        <v>0</v>
      </c>
      <c r="W61" s="37">
        <f t="shared" si="19"/>
        <v>-8701</v>
      </c>
      <c r="X61" s="37">
        <f t="shared" si="19"/>
        <v>0</v>
      </c>
      <c r="Y61" s="37">
        <f t="shared" si="19"/>
        <v>-8701</v>
      </c>
    </row>
    <row r="62" spans="1:25" ht="27.75" customHeight="1" x14ac:dyDescent="0.2">
      <c r="A62" s="267" t="s">
        <v>435</v>
      </c>
      <c r="B62" s="267"/>
      <c r="C62" s="267"/>
      <c r="D62" s="267"/>
      <c r="E62" s="267"/>
      <c r="F62" s="267"/>
      <c r="G62" s="7">
        <v>53</v>
      </c>
      <c r="H62" s="37">
        <f>H40+H61</f>
        <v>0</v>
      </c>
      <c r="I62" s="37">
        <f t="shared" ref="I62:Y62" si="21">I40+I61</f>
        <v>0</v>
      </c>
      <c r="J62" s="37">
        <f t="shared" si="21"/>
        <v>0</v>
      </c>
      <c r="K62" s="37">
        <f t="shared" si="21"/>
        <v>0</v>
      </c>
      <c r="L62" s="37">
        <f t="shared" si="21"/>
        <v>0</v>
      </c>
      <c r="M62" s="37">
        <f t="shared" si="21"/>
        <v>0</v>
      </c>
      <c r="N62" s="37">
        <f t="shared" si="21"/>
        <v>-8701</v>
      </c>
      <c r="O62" s="37">
        <f t="shared" si="21"/>
        <v>0</v>
      </c>
      <c r="P62" s="37">
        <f t="shared" si="21"/>
        <v>0</v>
      </c>
      <c r="Q62" s="37">
        <f t="shared" si="21"/>
        <v>0</v>
      </c>
      <c r="R62" s="37">
        <f t="shared" si="21"/>
        <v>0</v>
      </c>
      <c r="S62" s="37">
        <f t="shared" ref="S62:T62" si="22">S40+S61</f>
        <v>0</v>
      </c>
      <c r="T62" s="37">
        <f t="shared" si="22"/>
        <v>0</v>
      </c>
      <c r="U62" s="37">
        <f t="shared" si="21"/>
        <v>0</v>
      </c>
      <c r="V62" s="37">
        <f t="shared" si="21"/>
        <v>4506703</v>
      </c>
      <c r="W62" s="37">
        <f t="shared" si="21"/>
        <v>4498002</v>
      </c>
      <c r="X62" s="37">
        <f t="shared" si="21"/>
        <v>0</v>
      </c>
      <c r="Y62" s="37">
        <f t="shared" si="21"/>
        <v>4498002</v>
      </c>
    </row>
    <row r="63" spans="1:25" ht="29.25" customHeight="1" x14ac:dyDescent="0.2">
      <c r="A63" s="268" t="s">
        <v>436</v>
      </c>
      <c r="B63" s="268"/>
      <c r="C63" s="268"/>
      <c r="D63" s="268"/>
      <c r="E63" s="268"/>
      <c r="F63" s="268"/>
      <c r="G63" s="8">
        <v>54</v>
      </c>
      <c r="H63" s="38">
        <f>SUM(H50:H58)</f>
        <v>0</v>
      </c>
      <c r="I63" s="38">
        <f t="shared" ref="I63:Y63" si="23">SUM(I50:I58)</f>
        <v>0</v>
      </c>
      <c r="J63" s="38">
        <f t="shared" si="23"/>
        <v>0</v>
      </c>
      <c r="K63" s="38">
        <f t="shared" si="23"/>
        <v>0</v>
      </c>
      <c r="L63" s="38">
        <f t="shared" si="23"/>
        <v>0</v>
      </c>
      <c r="M63" s="38">
        <f t="shared" si="23"/>
        <v>0</v>
      </c>
      <c r="N63" s="38">
        <f t="shared" si="23"/>
        <v>5342382</v>
      </c>
      <c r="O63" s="38">
        <f t="shared" si="23"/>
        <v>0</v>
      </c>
      <c r="P63" s="38">
        <f t="shared" si="23"/>
        <v>0</v>
      </c>
      <c r="Q63" s="38">
        <f t="shared" si="23"/>
        <v>0</v>
      </c>
      <c r="R63" s="38">
        <f t="shared" si="23"/>
        <v>0</v>
      </c>
      <c r="S63" s="38">
        <f t="shared" ref="S63:T63" si="24">SUM(S50:S58)</f>
        <v>0</v>
      </c>
      <c r="T63" s="38">
        <f t="shared" si="24"/>
        <v>0</v>
      </c>
      <c r="U63" s="38">
        <f t="shared" si="23"/>
        <v>0</v>
      </c>
      <c r="V63" s="38">
        <f t="shared" si="23"/>
        <v>-5342382</v>
      </c>
      <c r="W63" s="38">
        <f t="shared" si="23"/>
        <v>0</v>
      </c>
      <c r="X63" s="38">
        <f t="shared" si="23"/>
        <v>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47244094488188981" top="0.55118110236220474" bottom="0.55118110236220474" header="0.35433070866141736" footer="0.51181102362204722"/>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466</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0866141732283472" right="0.70866141732283472" top="0.74803149606299213" bottom="0.74803149606299213" header="0.31496062992125984" footer="0.31496062992125984"/>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2023-10-26T08:53:27Z</cp:lastPrinted>
  <dcterms:created xsi:type="dcterms:W3CDTF">2008-10-17T11:51:54Z</dcterms:created>
  <dcterms:modified xsi:type="dcterms:W3CDTF">2024-02-28T10:48:56Z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