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Lucija\SynologyDrive\TerraFirma\Objave financijskih izvještaja\2025\2Q\"/>
    </mc:Choice>
  </mc:AlternateContent>
  <xr:revisionPtr revIDLastSave="0" documentId="13_ncr:1_{E3FFF065-DAB4-4A8C-950D-83A588F13CCD}" xr6:coauthVersionLast="47" xr6:coauthVersionMax="47" xr10:uidLastSave="{00000000-0000-0000-0000-000000000000}"/>
  <bookViews>
    <workbookView xWindow="-108" yWindow="-108" windowWidth="23256" windowHeight="12456"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26" l="1"/>
  <c r="H36" i="20" l="1"/>
  <c r="H11" i="20"/>
  <c r="I51" i="26"/>
  <c r="H51" i="26"/>
  <c r="I41" i="26"/>
  <c r="I25" i="26"/>
  <c r="H25" i="26"/>
  <c r="I24" i="26"/>
  <c r="H24" i="26"/>
  <c r="I23" i="26"/>
  <c r="I22" i="26"/>
  <c r="I21" i="26"/>
  <c r="I17" i="26"/>
  <c r="H17" i="26"/>
  <c r="I13" i="26"/>
  <c r="H13" i="26"/>
  <c r="I10" i="26"/>
  <c r="H10" i="26"/>
  <c r="H78"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<sst xmlns="http://schemas.openxmlformats.org/spreadsheetml/2006/main" count="535" uniqueCount="468">
  <si>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</si>
  <si>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</si>
  <si>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</si>
  <si>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</si>
  <si>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</si>
  <si>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</si>
  <si>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</si>
  <si>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</si>
  <si>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</si>
  <si>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</si>
  <si>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</si>
  <si>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</si>
  <si>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</si>
  <si>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</si>
  <si>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</si>
  <si>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</si>
  <si>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</si>
  <si>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</si>
  <si>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</si>
  <si>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</si>
  <si>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</si>
  <si>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</si>
  <si>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</si>
  <si>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</si>
  <si>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</si>
  <si>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</si>
  <si>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</si>
  <si>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</si>
  <si>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</si>
  <si>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</si>
  <si>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</si>
  <si>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</si>
  <si>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</si>
  <si>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</si>
  <si>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</si>
  <si>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</si>
  <si>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</si>
  <si>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</si>
  <si>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</si>
  <si>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</si>
  <si>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</si>
  <si>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</si>
  <si>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</si>
  <si>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</si>
  <si>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</si>
  <si>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</si>
  <si>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</si>
  <si>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</si>
  <si>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</si>
  <si>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</si>
  <si>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</si>
  <si>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</si>
  <si>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</si>
  <si>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</si>
  <si>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</si>
  <si>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</si>
  <si>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</si>
  <si>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</si>
  <si>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</si>
  <si>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</si>
  <si>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</si>
  <si>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</si>
  <si>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</si>
  <si>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</si>
  <si>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</si>
  <si>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</si>
  <si>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</si>
  <si>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</si>
  <si>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</si>
  <si>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</si>
  <si>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</si>
  <si>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</si>
  <si>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</si>
  <si>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</si>
  <si>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</si>
  <si>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</si>
  <si>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</si>
  <si>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</si>
  <si>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</si>
  <si>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</si>
  <si>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</si>
  <si>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</si>
  <si>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</si>
  <si>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</si>
  <si>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</si>
  <si>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</si>
  <si>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</si>
  <si>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</si>
  <si>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</si>
  <si>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</si>
  <si>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</si>
  <si>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</si>
  <si>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</si>
  <si>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</si>
  <si>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</si>
  <si>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</si>
  <si>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</si>
  <si>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</si>
  <si>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</si>
  <si>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</si>
  <si>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</si>
  <si>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</si>
  <si>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</si>
  <si>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</si>
  <si>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</si>
  <si>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</si>
  <si>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</si>
  <si>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</si>
  <si>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</si>
  <si>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</si>
  <si>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</si>
  <si>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</si>
  <si>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</si>
  <si>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</si>
  <si>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</si>
  <si>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</si>
  <si>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</si>
  <si>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</si>
  <si>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</si>
  <si>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</si>
  <si>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</si>
  <si>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</si>
  <si>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</si>
  <si>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</si>
  <si>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</si>
  <si>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</si>
  <si>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</si>
  <si>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</si>
  <si>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</si>
  <si>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</si>
  <si>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</si>
  <si>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</si>
  <si>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</si>
  <si>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</si>
  <si>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</si>
  <si>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</si>
  <si>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</si>
  <si>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</si>
  <si>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</si>
  <si>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</si>
  <si>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</si>
  <si>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</si>
  <si>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</si>
  <si>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</si>
  <si>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</si>
  <si>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</si>
  <si>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</si>
  <si>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</si>
  <si>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</si>
  <si>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</si>
  <si>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</si>
  <si>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</si>
  <si>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</si>
  <si>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</si>
  <si>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</si>
  <si>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</si>
  <si>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</si>
  <si>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</si>
  <si>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</si>
  <si>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</si>
  <si>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</si>
  <si>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</si>
  <si>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</si>
  <si>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</si>
  <si>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</si>
  <si>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</si>
  <si>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</si>
  <si>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</si>
  <si>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</si>
  <si>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</si>
  <si>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</si>
  <si>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</si>
  <si>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</si>
  <si>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</si>
  <si>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</si>
  <si>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</si>
  <si>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</si>
  <si>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</si>
  <si>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</si>
  <si>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</si>
  <si>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</si>
  <si>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</si>
  <si>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</si>
  <si>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</si>
  <si>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</si>
  <si>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</si>
  <si>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</si>
  <si>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</si>
  <si>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</si>
  <si>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</si>
  <si>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</si>
  <si>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</si>
  <si>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</si>
  <si>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</si>
  <si>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</si>
  <si>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</si>
  <si>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</si>
  <si>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</si>
  <si>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</si>
  <si>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</si>
  <si>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</si>
  <si>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</si>
  <si>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</si>
  <si>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</si>
  <si>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</si>
  <si>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</si>
  <si>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</si>
  <si>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</si>
  <si>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</si>
  <si>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</si>
  <si>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</si>
  <si>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</si>
  <si>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</si>
  <si>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</si>
  <si>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</si>
  <si>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</si>
  <si>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</si>
  <si>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</si>
  <si>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</si>
  <si>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</si>
  <si>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</si>
  <si>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</si>
  <si>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</si>
  <si>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</si>
  <si>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</si>
  <si>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</si>
  <si>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</si>
  <si>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</si>
  <si>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</si>
  <si>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</si>
  <si>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</si>
  <si>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</si>
  <si>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</si>
  <si>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</si>
  <si>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</si>
  <si>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</si>
  <si>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</si>
  <si>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</si>
  <si>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</si>
  <si>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</si>
  <si>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</si>
  <si>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</si>
  <si>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</si>
  <si>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</si>
  <si>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</si>
  <si>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</si>
  <si>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</si>
  <si>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</si>
  <si>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</si>
  <si>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</si>
  <si>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</si>
  <si>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</si>
  <si>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</si>
  <si>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</si>
  <si>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</si>
  <si>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</si>
  <si>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</si>
  <si>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</si>
  <si>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</si>
  <si>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</si>
  <si>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</si>
  <si>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</si>
  <si>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</si>
  <si>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</si>
  <si>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</si>
  <si>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</si>
  <si>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</si>
  <si>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</si>
  <si>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</si>
  <si>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</si>
  <si>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</si>
  <si>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</si>
  <si>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</si>
  <si>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</si>
  <si>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</si>
  <si>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</si>
  <si>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</si>
  <si>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</si>
  <si>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</si>
  <si>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</si>
  <si>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</si>
  <si>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</si>
  <si>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</si>
  <si>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</si>
  <si>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</si>
  <si>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</si>
  <si>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</si>
  <si>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</si>
  <si>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</si>
  <si>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</si>
  <si>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</si>
  <si>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</si>
  <si>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</si>
  <si>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</si>
  <si>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</si>
  <si>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</si>
  <si>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</si>
  <si>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</si>
  <si>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</si>
  <si>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</si>
  <si>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</si>
  <si>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</si>
  <si>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</si>
  <si>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</si>
  <si>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</si>
  <si>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</si>
  <si>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</si>
  <si>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</si>
  <si>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</si>
  <si>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</si>
  <si>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</si>
  <si>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</si>
  <si>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</si>
  <si>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</si>
  <si>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</si>
  <si>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</si>
  <si>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</si>
  <si>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</si>
  <si>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</si>
  <si>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</si>
  <si>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</si>
  <si>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</si>
  <si>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</si>
  <si>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</si>
  <si>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</si>
  <si>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</si>
  <si>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</si>
  <si>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</si>
  <si>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</si>
  <si>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</si>
  <si>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</si>
  <si>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</si>
  <si>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</si>
  <si>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</si>
  <si>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</si>
  <si>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</si>
  <si>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</si>
  <si>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</si>
  <si>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</si>
  <si>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</si>
  <si>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</si>
  <si>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</si>
  <si>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</si>
  <si>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</si>
  <si>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</si>
  <si>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</si>
  <si>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</si>
  <si>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</si>
  <si>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</si>
  <si>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</si>
  <si>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</si>
  <si>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</si>
  <si>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</si>
  <si>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</si>
  <si>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</si>
  <si>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</si>
  <si>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</si>
  <si>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</si>
  <si>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</si>
  <si>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</si>
  <si>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</si>
  <si>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</si>
  <si>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</si>
  <si>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</si>
  <si>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</si>
  <si>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</si>
  <si>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</si>
  <si>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</si>
  <si>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</si>
  <si>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</si>
  <si>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</si>
  <si>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</si>
  <si>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</si>
  <si>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</si>
  <si>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</si>
  <si>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</si>
  <si>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</si>
  <si>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</si>
  <si>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</si>
  <si>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</si>
  <si>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</si>
  <si>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</si>
  <si>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</si>
  <si>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</si>
  <si>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</si>
  <si>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</si>
  <si>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</si>
  <si>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</si>
  <si>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</si>
  <si>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</si>
  <si>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</si>
  <si>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</si>
  <si>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</si>
  <si>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</si>
  <si>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</si>
  <si>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</si>
  <si>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</si>
  <si>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</si>
  <si>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</si>
  <si>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</si>
  <si>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</si>
  <si>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</si>
  <si>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</si>
  <si>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</si>
  <si>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</si>
  <si>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</si>
  <si>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</si>
  <si>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</si>
  <si>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</si>
  <si>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</si>
  <si>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</si>
  <si>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</si>
  <si>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</si>
  <si>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</si>
  <si>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</si>
  <si>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</si>
  <si>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</si>
  <si>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</si>
  <si>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</si>
  <si>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</si>
  <si>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</si>
  <si>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</si>
  <si>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</si>
  <si>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</si>
  <si>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</si>
  <si>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</si>
  <si>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</si>
  <si>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</si>
  <si>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</si>
  <si>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</si>
  <si>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</si>
  <si>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</si>
  <si>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</si>
  <si>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</si>
  <si>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</si>
  <si>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</si>
  <si>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</si>
  <si>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</si>
  <si>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</si>
  <si>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</si>
  <si>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</si>
  <si>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</si>
  <si>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</si>
  <si>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</si>
  <si>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</si>
  <si>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</si>
  <si>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</si>
  <si>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</si>
  <si>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</si>
  <si>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</si>
  <si>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</si>
  <si>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</si>
  <si>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</si>
  <si>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</si>
  <si>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</si>
  <si>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</si>
  <si>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</si>
  <si>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info@terrafirma.hr</t>
  </si>
  <si>
    <t>www.terrafirma.hr</t>
  </si>
  <si>
    <t>Taurus Ulaganja d.o.o.</t>
  </si>
  <si>
    <t>Štengl Lucija</t>
  </si>
  <si>
    <t>091/ 604 3651</t>
  </si>
  <si>
    <t>lucija.stengl@terrafirma.hr</t>
  </si>
  <si>
    <t>Obveznik: TERRA FIRMA d.d.</t>
  </si>
  <si>
    <t>Ulica Pere Budmanija 3</t>
  </si>
  <si>
    <t>stanje na dan 30.06.2025</t>
  </si>
  <si>
    <t>u razdoblju 01.01.2025. do 30.06.2025.</t>
  </si>
  <si>
    <r>
      <t xml:space="preserve">BILJEŠKE UZ FINANCIJSKE IZVJEŠTAJE - TFI
(koji se sastavljaju za tromjesečna razdoblja)
Naziv izdavatelja:   TERRA FIRMA d.d.                                                                                                                                                                                                                                                                                                                                 Sjedište: Budmanijeva 3, Zagreb 
OIB:  22198253360
Izvještajno razdoblje: 1.1.2025. - 30.06.2025.
Bilješke uz financijske izvještaje za tromjesečna razdoblja uključuju:
a) Objašnjenje poslovnih događaja značajnih za razumijevanje promjena u izvještajima o financijskom položaju i poslovnim rezultatima nalazi se u Izvještaju poslovodstva.                                                                                                                                                                                                           Financijski izvještaji sastavljeni su u skladu s Međunarodnim standardima financijskog izvještavanja (MSFI) koje je usvojila Europska unija (EU), po načelu povijesnog troška izuzevši financijske instrumente koji su iskazani po fer vrijednosti. Podaci su ažurirani u skladu sa prikazom u posljednjem revidiranom godišnjem izvještaju.  Ispodgodišnja financijska izvješća sastavljena su sukladno Mađunarodnom računovodstvenom standardu 34 - Financijsko izvještavanje u toku godine, kojeg je odobrila EU i ne uključuju sve podatke i objave koji su obvezni za godišnje financijske izvještaje te ih se treba čitati zajedno sa revidiranim godišnjim izvješćem.
b) Financijski izvještaji uključujući i posljednja godišnja revidirana izvješća, dostupna su na internet stranicama Društva www.terrafirma.hr, stranicama burze www.zse.hr i Agencije www.hanfa.hr
c) Tijekom tekućeg perioda izvještavanja nije bilo promjene računovodstvene politike.
d) Izdavatelj ne obavlja djelatnost sezonske prirode.
e) Detaljna analiza prihoda i rezultata nalazi se u Izvještaju poslovodstva kao i u nastavku:                                                                                                                                            		                                                                        PRIHODI OD PRODAJE           30.06.2024.	            30.06.2025.
Dobit od prodaje 	                         186.263	                  90.142
Prihod od zakupa                       104.693                   115.706
	                                                290.956                   205.848         			
f) u bilješkama uz financijske izvještaje za tromjesečna razdoblja, osim gore navedenih informacija, objavljuju se i sljedeće informacije:
1. Naziv, sjedište (adresa) izdavatelja, pravni oblik izdavatelja, država osnivanja, matični broj subjekta, osobni identifikacijski broj objavljeni su na stranici Opći podaci u sklopu ovog dokumenta.
2. Promjena računovodstvene politike opisana je u točki c).
3. Financijske obveze po osnovi danih jamstava koje nisu uključene u bilancu nisu materijalno značajne i Uprava vjeruje kako je mogućnost bilo kakvog odljeva po osnovu istih neznatna. Izdavatelj nema obveza po osnovi mirovina iz domene MRS 19.
4. U izvještajnom razdoblju nije bilo stavki prihoda ili rashoda izuzetne veličine ili pojave.
5. Izdavatelj nema dugovanja koja dospijevaju nakon više od pet godina. Na datum bilance nema dugovanja koja su pokrivena vrijednim osiguranjem koje je izdalo Društvo/Grupa.
6. Prosječan broj zaposlenih tijekom izvještajnog razdoblja iznosi 5 (Q1 2024: 5). Izdavatelj ne prati zaposlenike po kategorijama.
7. Nije bilo kapitalizacije plaća u izvještajnom razdoblju.
8. Rezerva za odgođeni prihod nije priznata u financijskim izvještajima, budući da za nju nisu ispunjeni uvjeti za priznavanje prema zahtjevima MSFI-ja.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   __            ___ </t>
    </r>
    <r>
      <rPr>
        <sz val="10"/>
        <rFont val="Arial"/>
        <family val="2"/>
        <charset val="238"/>
      </rPr>
      <t xml:space="preserve">  Indigo Centar d.o.o. - 50% udjela u vlasništvu                                                                                                                                                                                                                                                                                                                                          </t>
    </r>
    <r>
      <rPr>
        <sz val="10"/>
        <color theme="0"/>
        <rFont val="Arial"/>
        <family val="2"/>
        <charset val="238"/>
      </rPr>
      <t xml:space="preserve">          _____   _____   _   </t>
    </r>
    <r>
      <rPr>
        <sz val="10"/>
        <rFont val="Arial"/>
        <family val="2"/>
        <charset val="238"/>
      </rPr>
      <t xml:space="preserve">Taurus Ulaganja d.o.o. - 100% udjela u vlasništvu                                                                                                                                                                                                                                                                                            </t>
    </r>
    <r>
      <rPr>
        <sz val="10"/>
        <color theme="0"/>
        <rFont val="Arial"/>
        <family val="2"/>
        <charset val="238"/>
      </rPr>
      <t xml:space="preserve">  - </t>
    </r>
    <r>
      <rPr>
        <sz val="10"/>
        <rFont val="Arial"/>
        <family val="2"/>
        <charset val="238"/>
      </rPr>
      <t xml:space="preserve">                          Terra Properties d.o.o. - 50% udjela u vlasništvu                                                                                                                                                   </t>
    </r>
    <r>
      <rPr>
        <sz val="10"/>
        <color theme="0"/>
        <rFont val="Arial"/>
        <family val="2"/>
        <charset val="238"/>
      </rPr>
      <t xml:space="preserve">           --------------------------------</t>
    </r>
    <r>
      <rPr>
        <sz val="10"/>
        <rFont val="Arial"/>
        <family val="2"/>
        <charset val="238"/>
      </rPr>
      <t>Terra Nard d.o.o. - 100% udjela u vlasništvu  
10. NIje bilo transakcija upisa dionica niti udjela tijekom poslovne godine u okviru odobrenog kapitala.
11. Društvo nema potvrda o sudjelovanju, konvertibilnih zadužnica, jamstava, opcija ili sličnih vrijednosnica ili prava.
12. Društvo nema udjela u društvima s neograničenom odgovornosti.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Društvo nije imalo aranžmana koji nisu uključeni u bilancu a kod kojih bi rizici ili koristi koji proizlaze iz takvih aranžmana bili materijalni.
17. Nema značajnih događaja koji su nastupili nakon datuma bilance i nisu odraženi u računu dobiti i gubitka ili bilanci.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</si>
</sst>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Normal="100" zoomScaleSheetLayoutView="100" workbookViewId="0">
      <selection activeCell="E8" sqref="E8"/>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v>45658</v>
      </c>
      <c r="F4" s="185"/>
      <c r="G4" s="99" t="s">
        <v>0</v>
      </c>
      <c r="H4" s="184">
        <v>45838</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2</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454</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453</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455</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10000</v>
      </c>
      <c r="D21" s="149"/>
      <c r="E21" s="138"/>
      <c r="F21" s="138"/>
      <c r="G21" s="139" t="s">
        <v>456</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464</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457</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458</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5</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342</v>
      </c>
      <c r="D50" s="149"/>
      <c r="E50" s="150" t="s">
        <v>344</v>
      </c>
      <c r="F50" s="151"/>
      <c r="G50" s="139" t="s">
        <v>459</v>
      </c>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462</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73" zoomScale="110" zoomScaleNormal="100" zoomScaleSheetLayoutView="110" workbookViewId="0">
      <selection activeCell="L10" sqref="L10"/>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465</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463</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2661958</v>
      </c>
      <c r="I9" s="82">
        <f>I10+I17+I27+I38+I43</f>
        <v>2614378</v>
      </c>
    </row>
    <row r="10" spans="1:9" ht="12.75" customHeight="1" x14ac:dyDescent="0.25">
      <c r="A10" s="194" t="s">
        <v>5</v>
      </c>
      <c r="B10" s="194"/>
      <c r="C10" s="194"/>
      <c r="D10" s="194"/>
      <c r="E10" s="194"/>
      <c r="F10" s="194"/>
      <c r="G10" s="12">
        <v>3</v>
      </c>
      <c r="H10" s="82">
        <f>H11+H12+H13+H14+H15+H16</f>
        <v>28</v>
      </c>
      <c r="I10" s="82">
        <f>I11+I12+I13+I14+I15+I16</f>
        <v>18</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0</v>
      </c>
      <c r="I12" s="18">
        <v>0</v>
      </c>
    </row>
    <row r="13" spans="1:9" ht="12.75" customHeight="1" x14ac:dyDescent="0.25">
      <c r="A13" s="190" t="s">
        <v>8</v>
      </c>
      <c r="B13" s="190"/>
      <c r="C13" s="190"/>
      <c r="D13" s="190"/>
      <c r="E13" s="190"/>
      <c r="F13" s="190"/>
      <c r="G13" s="11">
        <v>6</v>
      </c>
      <c r="H13" s="18">
        <v>28</v>
      </c>
      <c r="I13" s="18">
        <v>18</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1559631</v>
      </c>
      <c r="I17" s="82">
        <f>I18+I19+I20+I21+I22+I23+I24+I25+I26</f>
        <v>1386083</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25881</v>
      </c>
      <c r="I20" s="18">
        <v>15703</v>
      </c>
    </row>
    <row r="21" spans="1:9" ht="12.75" customHeight="1" x14ac:dyDescent="0.25">
      <c r="A21" s="190" t="s">
        <v>16</v>
      </c>
      <c r="B21" s="190"/>
      <c r="C21" s="190"/>
      <c r="D21" s="190"/>
      <c r="E21" s="190"/>
      <c r="F21" s="190"/>
      <c r="G21" s="11">
        <v>14</v>
      </c>
      <c r="H21" s="18">
        <v>20692</v>
      </c>
      <c r="I21" s="18">
        <v>18304</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0</v>
      </c>
      <c r="I24" s="18">
        <v>0</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1513058</v>
      </c>
      <c r="I26" s="18">
        <v>1352076</v>
      </c>
    </row>
    <row r="27" spans="1:9" ht="12.75" customHeight="1" x14ac:dyDescent="0.25">
      <c r="A27" s="194" t="s">
        <v>22</v>
      </c>
      <c r="B27" s="194"/>
      <c r="C27" s="194"/>
      <c r="D27" s="194"/>
      <c r="E27" s="194"/>
      <c r="F27" s="194"/>
      <c r="G27" s="12">
        <v>20</v>
      </c>
      <c r="H27" s="82">
        <f>SUM(H28:H37)</f>
        <v>1102299</v>
      </c>
      <c r="I27" s="82">
        <f>SUM(I28:I37)</f>
        <v>1228277</v>
      </c>
    </row>
    <row r="28" spans="1:9" ht="12.75" customHeight="1" x14ac:dyDescent="0.25">
      <c r="A28" s="190" t="s">
        <v>23</v>
      </c>
      <c r="B28" s="190"/>
      <c r="C28" s="190"/>
      <c r="D28" s="190"/>
      <c r="E28" s="190"/>
      <c r="F28" s="190"/>
      <c r="G28" s="11">
        <v>21</v>
      </c>
      <c r="H28" s="18">
        <v>1062399</v>
      </c>
      <c r="I28" s="18">
        <v>1190877</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3750</v>
      </c>
      <c r="I31" s="18">
        <v>1250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36150</v>
      </c>
      <c r="I36" s="18">
        <v>36150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2754746</v>
      </c>
      <c r="I44" s="82">
        <f>I45+I53+I60+I70</f>
        <v>2849349</v>
      </c>
    </row>
    <row r="45" spans="1:9" ht="12.75" customHeight="1" x14ac:dyDescent="0.25">
      <c r="A45" s="194" t="s">
        <v>39</v>
      </c>
      <c r="B45" s="194"/>
      <c r="C45" s="194"/>
      <c r="D45" s="194"/>
      <c r="E45" s="194"/>
      <c r="F45" s="194"/>
      <c r="G45" s="12">
        <v>38</v>
      </c>
      <c r="H45" s="82">
        <f>SUM(H46:H52)</f>
        <v>915762</v>
      </c>
      <c r="I45" s="82">
        <f>SUM(I46:I52)</f>
        <v>1087467</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915762</v>
      </c>
      <c r="I51" s="18">
        <v>1087467</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86500</v>
      </c>
      <c r="I53" s="82">
        <f>SUM(I54:I59)</f>
        <v>160605</v>
      </c>
    </row>
    <row r="54" spans="1:9" ht="12.75" customHeight="1" x14ac:dyDescent="0.25">
      <c r="A54" s="190" t="s">
        <v>48</v>
      </c>
      <c r="B54" s="190"/>
      <c r="C54" s="190"/>
      <c r="D54" s="190"/>
      <c r="E54" s="190"/>
      <c r="F54" s="190"/>
      <c r="G54" s="11">
        <v>47</v>
      </c>
      <c r="H54" s="18">
        <v>66874</v>
      </c>
      <c r="I54" s="18">
        <v>87200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17784</v>
      </c>
      <c r="I56" s="18">
        <v>47245</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29</v>
      </c>
      <c r="I58" s="18">
        <v>25913</v>
      </c>
    </row>
    <row r="59" spans="1:9" ht="12.75" customHeight="1" x14ac:dyDescent="0.25">
      <c r="A59" s="190" t="s">
        <v>53</v>
      </c>
      <c r="B59" s="190"/>
      <c r="C59" s="190"/>
      <c r="D59" s="190"/>
      <c r="E59" s="190"/>
      <c r="F59" s="190"/>
      <c r="G59" s="11">
        <v>52</v>
      </c>
      <c r="H59" s="18">
        <v>1813</v>
      </c>
      <c r="I59" s="18">
        <v>247</v>
      </c>
    </row>
    <row r="60" spans="1:9" ht="12.75" customHeight="1" x14ac:dyDescent="0.25">
      <c r="A60" s="194" t="s">
        <v>54</v>
      </c>
      <c r="B60" s="194"/>
      <c r="C60" s="194"/>
      <c r="D60" s="194"/>
      <c r="E60" s="194"/>
      <c r="F60" s="194"/>
      <c r="G60" s="12">
        <v>53</v>
      </c>
      <c r="H60" s="82">
        <f>SUM(H61:H69)</f>
        <v>1188196</v>
      </c>
      <c r="I60" s="82">
        <f>SUM(I61:I69)</f>
        <v>1243603</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990994</v>
      </c>
      <c r="I63" s="18">
        <v>950143</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197202</v>
      </c>
      <c r="I69" s="18">
        <v>293460</v>
      </c>
    </row>
    <row r="70" spans="1:9" ht="12.75" customHeight="1" x14ac:dyDescent="0.25">
      <c r="A70" s="190" t="s">
        <v>57</v>
      </c>
      <c r="B70" s="190"/>
      <c r="C70" s="190"/>
      <c r="D70" s="190"/>
      <c r="E70" s="190"/>
      <c r="F70" s="190"/>
      <c r="G70" s="11">
        <v>63</v>
      </c>
      <c r="H70" s="18">
        <v>564288</v>
      </c>
      <c r="I70" s="18">
        <v>357674</v>
      </c>
    </row>
    <row r="71" spans="1:9" ht="12.75" customHeight="1" x14ac:dyDescent="0.25">
      <c r="A71" s="191" t="s">
        <v>58</v>
      </c>
      <c r="B71" s="191"/>
      <c r="C71" s="191"/>
      <c r="D71" s="191"/>
      <c r="E71" s="191"/>
      <c r="F71" s="191"/>
      <c r="G71" s="11">
        <v>64</v>
      </c>
      <c r="H71" s="18">
        <v>0</v>
      </c>
      <c r="I71" s="18">
        <v>0</v>
      </c>
    </row>
    <row r="72" spans="1:9" ht="12.75" customHeight="1" x14ac:dyDescent="0.25">
      <c r="A72" s="192" t="s">
        <v>304</v>
      </c>
      <c r="B72" s="192"/>
      <c r="C72" s="192"/>
      <c r="D72" s="192"/>
      <c r="E72" s="192"/>
      <c r="F72" s="192"/>
      <c r="G72" s="12">
        <v>65</v>
      </c>
      <c r="H72" s="82">
        <f>H8+H9+H44+H71</f>
        <v>5416704</v>
      </c>
      <c r="I72" s="82">
        <f>I8+I9+I44+I71</f>
        <v>5463727</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4683282</v>
      </c>
      <c r="I75" s="83">
        <f>I76+I77+I78+I84+I85+I91+I94+I97</f>
        <v>4890698</v>
      </c>
    </row>
    <row r="76" spans="1:9" ht="12.75" customHeight="1" x14ac:dyDescent="0.25">
      <c r="A76" s="190" t="s">
        <v>61</v>
      </c>
      <c r="B76" s="190"/>
      <c r="C76" s="190"/>
      <c r="D76" s="190"/>
      <c r="E76" s="190"/>
      <c r="F76" s="190"/>
      <c r="G76" s="11">
        <v>68</v>
      </c>
      <c r="H76" s="18">
        <v>1000000</v>
      </c>
      <c r="I76" s="18">
        <v>1000000</v>
      </c>
    </row>
    <row r="77" spans="1:9" ht="12.75" customHeight="1" x14ac:dyDescent="0.25">
      <c r="A77" s="190" t="s">
        <v>62</v>
      </c>
      <c r="B77" s="190"/>
      <c r="C77" s="190"/>
      <c r="D77" s="190"/>
      <c r="E77" s="190"/>
      <c r="F77" s="190"/>
      <c r="G77" s="11">
        <v>69</v>
      </c>
      <c r="H77" s="18">
        <v>2313160</v>
      </c>
      <c r="I77" s="18">
        <v>2313160</v>
      </c>
    </row>
    <row r="78" spans="1:9" ht="12.75" customHeight="1" x14ac:dyDescent="0.25">
      <c r="A78" s="194" t="s">
        <v>63</v>
      </c>
      <c r="B78" s="194"/>
      <c r="C78" s="194"/>
      <c r="D78" s="194"/>
      <c r="E78" s="194"/>
      <c r="F78" s="194"/>
      <c r="G78" s="12">
        <v>70</v>
      </c>
      <c r="H78" s="83">
        <f>SUM(H79:H83)</f>
        <v>23890</v>
      </c>
      <c r="I78" s="83">
        <f>SUM(I79:I83)</f>
        <v>23890</v>
      </c>
    </row>
    <row r="79" spans="1:9" ht="12.75" customHeight="1" x14ac:dyDescent="0.25">
      <c r="A79" s="190" t="s">
        <v>64</v>
      </c>
      <c r="B79" s="190"/>
      <c r="C79" s="190"/>
      <c r="D79" s="190"/>
      <c r="E79" s="190"/>
      <c r="F79" s="190"/>
      <c r="G79" s="11">
        <v>71</v>
      </c>
      <c r="H79" s="18">
        <v>23890</v>
      </c>
      <c r="I79" s="18">
        <v>23890</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-408471</v>
      </c>
      <c r="I84" s="43">
        <v>-282493</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1185656</v>
      </c>
      <c r="I91" s="82">
        <f>I92-I93</f>
        <v>1754703</v>
      </c>
    </row>
    <row r="92" spans="1:9" ht="12.75" customHeight="1" x14ac:dyDescent="0.25">
      <c r="A92" s="190" t="s">
        <v>72</v>
      </c>
      <c r="B92" s="190"/>
      <c r="C92" s="190"/>
      <c r="D92" s="190"/>
      <c r="E92" s="190"/>
      <c r="F92" s="190"/>
      <c r="G92" s="11">
        <v>84</v>
      </c>
      <c r="H92" s="18">
        <v>1185656</v>
      </c>
      <c r="I92" s="18">
        <v>1754703</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569047</v>
      </c>
      <c r="I94" s="82">
        <f>I95-I96</f>
        <v>81438</v>
      </c>
    </row>
    <row r="95" spans="1:9" ht="12.75" customHeight="1" x14ac:dyDescent="0.25">
      <c r="A95" s="190" t="s">
        <v>74</v>
      </c>
      <c r="B95" s="190"/>
      <c r="C95" s="190"/>
      <c r="D95" s="190"/>
      <c r="E95" s="190"/>
      <c r="F95" s="190"/>
      <c r="G95" s="11">
        <v>87</v>
      </c>
      <c r="H95" s="18">
        <v>569047</v>
      </c>
      <c r="I95" s="18">
        <v>81438</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0</v>
      </c>
      <c r="I98" s="82">
        <f>SUM(I99:I104)</f>
        <v>0</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0</v>
      </c>
      <c r="I105" s="82">
        <f>SUM(I106:I116)</f>
        <v>0</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733422</v>
      </c>
      <c r="I117" s="82">
        <f>SUM(I118:I131)</f>
        <v>573029</v>
      </c>
    </row>
    <row r="118" spans="1:9" ht="12.75" customHeight="1" x14ac:dyDescent="0.25">
      <c r="A118" s="190" t="s">
        <v>83</v>
      </c>
      <c r="B118" s="190"/>
      <c r="C118" s="190"/>
      <c r="D118" s="190"/>
      <c r="E118" s="190"/>
      <c r="F118" s="190"/>
      <c r="G118" s="11">
        <v>110</v>
      </c>
      <c r="H118" s="18">
        <v>664</v>
      </c>
      <c r="I118" s="18">
        <v>664</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610034</v>
      </c>
      <c r="I122" s="18">
        <v>334934</v>
      </c>
    </row>
    <row r="123" spans="1:9" ht="12.75" customHeight="1" x14ac:dyDescent="0.25">
      <c r="A123" s="190" t="s">
        <v>88</v>
      </c>
      <c r="B123" s="190"/>
      <c r="C123" s="190"/>
      <c r="D123" s="190"/>
      <c r="E123" s="190"/>
      <c r="F123" s="190"/>
      <c r="G123" s="11">
        <v>115</v>
      </c>
      <c r="H123" s="18">
        <v>5415</v>
      </c>
      <c r="I123" s="18">
        <v>4140</v>
      </c>
    </row>
    <row r="124" spans="1:9" ht="12.75" customHeight="1" x14ac:dyDescent="0.25">
      <c r="A124" s="190" t="s">
        <v>89</v>
      </c>
      <c r="B124" s="190"/>
      <c r="C124" s="190"/>
      <c r="D124" s="190"/>
      <c r="E124" s="190"/>
      <c r="F124" s="190"/>
      <c r="G124" s="11">
        <v>116</v>
      </c>
      <c r="H124" s="18">
        <v>11500</v>
      </c>
      <c r="I124" s="18">
        <v>145000</v>
      </c>
    </row>
    <row r="125" spans="1:9" ht="12.75" customHeight="1" x14ac:dyDescent="0.25">
      <c r="A125" s="190" t="s">
        <v>90</v>
      </c>
      <c r="B125" s="190"/>
      <c r="C125" s="190"/>
      <c r="D125" s="190"/>
      <c r="E125" s="190"/>
      <c r="F125" s="190"/>
      <c r="G125" s="11">
        <v>117</v>
      </c>
      <c r="H125" s="18">
        <v>10184</v>
      </c>
      <c r="I125" s="18">
        <v>4250</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6698</v>
      </c>
      <c r="I127" s="18">
        <v>7012</v>
      </c>
    </row>
    <row r="128" spans="1:9" x14ac:dyDescent="0.25">
      <c r="A128" s="190" t="s">
        <v>95</v>
      </c>
      <c r="B128" s="190"/>
      <c r="C128" s="190"/>
      <c r="D128" s="190"/>
      <c r="E128" s="190"/>
      <c r="F128" s="190"/>
      <c r="G128" s="11">
        <v>120</v>
      </c>
      <c r="H128" s="18">
        <v>88927</v>
      </c>
      <c r="I128" s="18">
        <v>77029</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0</v>
      </c>
      <c r="I131" s="18">
        <v>0</v>
      </c>
    </row>
    <row r="132" spans="1:9" ht="22.2" customHeight="1" x14ac:dyDescent="0.25">
      <c r="A132" s="191" t="s">
        <v>99</v>
      </c>
      <c r="B132" s="191"/>
      <c r="C132" s="191"/>
      <c r="D132" s="191"/>
      <c r="E132" s="191"/>
      <c r="F132" s="191"/>
      <c r="G132" s="11">
        <v>124</v>
      </c>
      <c r="H132" s="18">
        <v>0</v>
      </c>
      <c r="I132" s="18">
        <v>0</v>
      </c>
    </row>
    <row r="133" spans="1:9" ht="12.75" customHeight="1" x14ac:dyDescent="0.25">
      <c r="A133" s="192" t="s">
        <v>358</v>
      </c>
      <c r="B133" s="192"/>
      <c r="C133" s="192"/>
      <c r="D133" s="192"/>
      <c r="E133" s="192"/>
      <c r="F133" s="192"/>
      <c r="G133" s="12">
        <v>125</v>
      </c>
      <c r="H133" s="82">
        <f>H75+H98+H105+H117+H132</f>
        <v>5416704</v>
      </c>
      <c r="I133" s="82">
        <f>I75+I98+I105+I117+I132</f>
        <v>5463727</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 zoomScale="85" zoomScaleNormal="85" zoomScaleSheetLayoutView="110" workbookViewId="0">
      <selection activeCell="O84" sqref="O84"/>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466</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463</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307634</v>
      </c>
      <c r="I8" s="48">
        <f>SUM(I9:I13)</f>
        <v>63578</v>
      </c>
      <c r="J8" s="48">
        <f>SUM(J9:J13)</f>
        <v>233730</v>
      </c>
      <c r="K8" s="48">
        <f>SUM(K9:K13)</f>
        <v>154766</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f>95469+9224+179163+1809+5291</f>
        <v>290956</v>
      </c>
      <c r="I10" s="49">
        <f>290956-234092</f>
        <v>56864</v>
      </c>
      <c r="J10" s="49">
        <v>205848</v>
      </c>
      <c r="K10" s="49">
        <v>142895</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f>13959+2719</f>
        <v>16678</v>
      </c>
      <c r="I13" s="49">
        <f>16678-9964</f>
        <v>6714</v>
      </c>
      <c r="J13" s="49">
        <v>27882</v>
      </c>
      <c r="K13" s="49">
        <v>11871</v>
      </c>
    </row>
    <row r="14" spans="1:11" ht="12.75" customHeight="1" x14ac:dyDescent="0.25">
      <c r="A14" s="221" t="s">
        <v>360</v>
      </c>
      <c r="B14" s="221"/>
      <c r="C14" s="221"/>
      <c r="D14" s="221"/>
      <c r="E14" s="221"/>
      <c r="F14" s="221"/>
      <c r="G14" s="12">
        <v>7</v>
      </c>
      <c r="H14" s="48">
        <f>H15+H16+H20+H24+H25+H26+H29+H36</f>
        <v>156299</v>
      </c>
      <c r="I14" s="48">
        <f>I15+I16+I20+I24+I25+I26+I29+I36</f>
        <v>85309</v>
      </c>
      <c r="J14" s="48">
        <f>J15+J16+J20+J24+J25+J26+J29+J36</f>
        <v>155085</v>
      </c>
      <c r="K14" s="48">
        <f>K15+K16+K20+K24+K25+K26+K29+K36</f>
        <v>91420</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75147</v>
      </c>
      <c r="I16" s="48">
        <f>SUM(I17:I19)</f>
        <v>42083</v>
      </c>
      <c r="J16" s="48">
        <f>SUM(J17:J19)</f>
        <v>70479</v>
      </c>
      <c r="K16" s="48">
        <f>SUM(K17:K19)</f>
        <v>45670</v>
      </c>
    </row>
    <row r="17" spans="1:11" ht="12.75" customHeight="1" x14ac:dyDescent="0.25">
      <c r="A17" s="224" t="s">
        <v>120</v>
      </c>
      <c r="B17" s="224"/>
      <c r="C17" s="224"/>
      <c r="D17" s="224"/>
      <c r="E17" s="224"/>
      <c r="F17" s="224"/>
      <c r="G17" s="11">
        <v>10</v>
      </c>
      <c r="H17" s="49">
        <f>318+846+72+20+384+21+1+735+6+7+9+7384+2111+643+804</f>
        <v>13361</v>
      </c>
      <c r="I17" s="49">
        <f>13377-8670</f>
        <v>4707</v>
      </c>
      <c r="J17" s="49">
        <v>20160</v>
      </c>
      <c r="K17" s="49">
        <v>8389</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61786</v>
      </c>
      <c r="I19" s="49">
        <v>37376</v>
      </c>
      <c r="J19" s="49">
        <v>50319</v>
      </c>
      <c r="K19" s="49">
        <v>37281</v>
      </c>
    </row>
    <row r="20" spans="1:11" ht="12.75" customHeight="1" x14ac:dyDescent="0.25">
      <c r="A20" s="194" t="s">
        <v>441</v>
      </c>
      <c r="B20" s="194"/>
      <c r="C20" s="194"/>
      <c r="D20" s="194"/>
      <c r="E20" s="194"/>
      <c r="F20" s="194"/>
      <c r="G20" s="12">
        <v>13</v>
      </c>
      <c r="H20" s="48">
        <f>SUM(H21:H23)</f>
        <v>55028</v>
      </c>
      <c r="I20" s="48">
        <f>SUM(I21:I23)</f>
        <v>27716</v>
      </c>
      <c r="J20" s="48">
        <f>SUM(J21:J23)</f>
        <v>57784</v>
      </c>
      <c r="K20" s="48">
        <f>SUM(K21:K23)</f>
        <v>29442</v>
      </c>
    </row>
    <row r="21" spans="1:11" ht="12.75" customHeight="1" x14ac:dyDescent="0.25">
      <c r="A21" s="224" t="s">
        <v>105</v>
      </c>
      <c r="B21" s="224"/>
      <c r="C21" s="224"/>
      <c r="D21" s="224"/>
      <c r="E21" s="224"/>
      <c r="F21" s="224"/>
      <c r="G21" s="11">
        <v>14</v>
      </c>
      <c r="H21" s="49">
        <v>35030</v>
      </c>
      <c r="I21" s="49">
        <f>35030-17480</f>
        <v>17550</v>
      </c>
      <c r="J21" s="49">
        <v>36574</v>
      </c>
      <c r="K21" s="49">
        <v>18600</v>
      </c>
    </row>
    <row r="22" spans="1:11" ht="12.75" customHeight="1" x14ac:dyDescent="0.25">
      <c r="A22" s="224" t="s">
        <v>106</v>
      </c>
      <c r="B22" s="224"/>
      <c r="C22" s="224"/>
      <c r="D22" s="224"/>
      <c r="E22" s="224"/>
      <c r="F22" s="224"/>
      <c r="G22" s="11">
        <v>15</v>
      </c>
      <c r="H22" s="49">
        <v>12463</v>
      </c>
      <c r="I22" s="49">
        <f>12463-6223</f>
        <v>6240</v>
      </c>
      <c r="J22" s="49">
        <v>13026</v>
      </c>
      <c r="K22" s="49">
        <v>6672</v>
      </c>
    </row>
    <row r="23" spans="1:11" ht="12.75" customHeight="1" x14ac:dyDescent="0.25">
      <c r="A23" s="224" t="s">
        <v>107</v>
      </c>
      <c r="B23" s="224"/>
      <c r="C23" s="224"/>
      <c r="D23" s="224"/>
      <c r="E23" s="224"/>
      <c r="F23" s="224"/>
      <c r="G23" s="11">
        <v>16</v>
      </c>
      <c r="H23" s="49">
        <v>7535</v>
      </c>
      <c r="I23" s="49">
        <f>7535-3609</f>
        <v>3926</v>
      </c>
      <c r="J23" s="49">
        <v>8184</v>
      </c>
      <c r="K23" s="49">
        <v>4170</v>
      </c>
    </row>
    <row r="24" spans="1:11" ht="12.75" customHeight="1" x14ac:dyDescent="0.25">
      <c r="A24" s="190" t="s">
        <v>108</v>
      </c>
      <c r="B24" s="190"/>
      <c r="C24" s="190"/>
      <c r="D24" s="190"/>
      <c r="E24" s="190"/>
      <c r="F24" s="190"/>
      <c r="G24" s="11">
        <v>17</v>
      </c>
      <c r="H24" s="49">
        <f>10+2258+709+621+65+8689</f>
        <v>12352</v>
      </c>
      <c r="I24" s="49">
        <f>12352-6067</f>
        <v>6285</v>
      </c>
      <c r="J24" s="49">
        <v>12575</v>
      </c>
      <c r="K24" s="49">
        <v>6286</v>
      </c>
    </row>
    <row r="25" spans="1:11" ht="12.75" customHeight="1" x14ac:dyDescent="0.25">
      <c r="A25" s="190" t="s">
        <v>109</v>
      </c>
      <c r="B25" s="190"/>
      <c r="C25" s="190"/>
      <c r="D25" s="190"/>
      <c r="E25" s="190"/>
      <c r="F25" s="190"/>
      <c r="G25" s="11">
        <v>18</v>
      </c>
      <c r="H25" s="49">
        <f>1684+1750+2000+110+185+485+165+657+2953+100+1424+27+659+965+149+61+398</f>
        <v>13772</v>
      </c>
      <c r="I25" s="49">
        <f>13772-4547</f>
        <v>9225</v>
      </c>
      <c r="J25" s="49">
        <v>14247</v>
      </c>
      <c r="K25" s="49">
        <v>10022</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0</v>
      </c>
      <c r="I36" s="49">
        <v>0</v>
      </c>
      <c r="J36" s="49">
        <v>0</v>
      </c>
      <c r="K36" s="49">
        <v>0</v>
      </c>
    </row>
    <row r="37" spans="1:11" ht="12.75" customHeight="1" x14ac:dyDescent="0.25">
      <c r="A37" s="221" t="s">
        <v>361</v>
      </c>
      <c r="B37" s="221"/>
      <c r="C37" s="221"/>
      <c r="D37" s="221"/>
      <c r="E37" s="221"/>
      <c r="F37" s="221"/>
      <c r="G37" s="12">
        <v>30</v>
      </c>
      <c r="H37" s="48">
        <f>SUM(H38:H47)</f>
        <v>12983</v>
      </c>
      <c r="I37" s="48">
        <f>SUM(I38:I47)</f>
        <v>6704</v>
      </c>
      <c r="J37" s="48">
        <f>SUM(J38:J47)</f>
        <v>22984</v>
      </c>
      <c r="K37" s="48">
        <f>SUM(K38:K47)</f>
        <v>11114</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12983</v>
      </c>
      <c r="I41" s="49">
        <f>12983-6279</f>
        <v>6704</v>
      </c>
      <c r="J41" s="49">
        <v>22533</v>
      </c>
      <c r="K41" s="49">
        <v>11113</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0</v>
      </c>
      <c r="I44" s="49">
        <v>0</v>
      </c>
      <c r="J44" s="49">
        <v>1</v>
      </c>
      <c r="K44" s="49">
        <v>1</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450</v>
      </c>
      <c r="K47" s="49">
        <v>0</v>
      </c>
    </row>
    <row r="48" spans="1:11" ht="12.75" customHeight="1" x14ac:dyDescent="0.25">
      <c r="A48" s="221" t="s">
        <v>362</v>
      </c>
      <c r="B48" s="221"/>
      <c r="C48" s="221"/>
      <c r="D48" s="221"/>
      <c r="E48" s="221"/>
      <c r="F48" s="221"/>
      <c r="G48" s="12">
        <v>41</v>
      </c>
      <c r="H48" s="48">
        <f>SUM(H49:H55)</f>
        <v>15579</v>
      </c>
      <c r="I48" s="48">
        <f>SUM(I49:I55)</f>
        <v>8329</v>
      </c>
      <c r="J48" s="48">
        <f>SUM(J49:J55)</f>
        <v>11142</v>
      </c>
      <c r="K48" s="48">
        <f>SUM(K49:K55)</f>
        <v>3973</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f>15573+5+1</f>
        <v>15579</v>
      </c>
      <c r="I51" s="49">
        <f>15579-7250</f>
        <v>8329</v>
      </c>
      <c r="J51" s="49">
        <v>11142</v>
      </c>
      <c r="K51" s="49">
        <v>3973</v>
      </c>
    </row>
    <row r="52" spans="1:11" ht="12.75" customHeight="1" x14ac:dyDescent="0.25">
      <c r="A52" s="214" t="s">
        <v>144</v>
      </c>
      <c r="B52" s="214"/>
      <c r="C52" s="214"/>
      <c r="D52" s="214"/>
      <c r="E52" s="214"/>
      <c r="F52" s="214"/>
      <c r="G52" s="11">
        <v>45</v>
      </c>
      <c r="H52" s="49">
        <v>0</v>
      </c>
      <c r="I52" s="49">
        <v>0</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320617</v>
      </c>
      <c r="I60" s="48">
        <f t="shared" ref="I60:K60" si="0">I8+I37+I56+I57</f>
        <v>70282</v>
      </c>
      <c r="J60" s="48">
        <f t="shared" si="0"/>
        <v>256714</v>
      </c>
      <c r="K60" s="48">
        <f t="shared" si="0"/>
        <v>165880</v>
      </c>
    </row>
    <row r="61" spans="1:11" ht="12.75" customHeight="1" x14ac:dyDescent="0.25">
      <c r="A61" s="221" t="s">
        <v>364</v>
      </c>
      <c r="B61" s="221"/>
      <c r="C61" s="221"/>
      <c r="D61" s="221"/>
      <c r="E61" s="221"/>
      <c r="F61" s="221"/>
      <c r="G61" s="12">
        <v>54</v>
      </c>
      <c r="H61" s="48">
        <f>H14+H48+H58+H59</f>
        <v>171878</v>
      </c>
      <c r="I61" s="48">
        <f t="shared" ref="I61:K61" si="1">I14+I48+I58+I59</f>
        <v>93638</v>
      </c>
      <c r="J61" s="48">
        <f t="shared" si="1"/>
        <v>166227</v>
      </c>
      <c r="K61" s="48">
        <f t="shared" si="1"/>
        <v>95393</v>
      </c>
    </row>
    <row r="62" spans="1:11" ht="12.75" customHeight="1" x14ac:dyDescent="0.25">
      <c r="A62" s="221" t="s">
        <v>365</v>
      </c>
      <c r="B62" s="221"/>
      <c r="C62" s="221"/>
      <c r="D62" s="221"/>
      <c r="E62" s="221"/>
      <c r="F62" s="221"/>
      <c r="G62" s="12">
        <v>55</v>
      </c>
      <c r="H62" s="48">
        <f>H60-H61</f>
        <v>148739</v>
      </c>
      <c r="I62" s="48">
        <f t="shared" ref="I62:K62" si="2">I60-I61</f>
        <v>-23356</v>
      </c>
      <c r="J62" s="48">
        <f t="shared" si="2"/>
        <v>90487</v>
      </c>
      <c r="K62" s="48">
        <f t="shared" si="2"/>
        <v>70487</v>
      </c>
    </row>
    <row r="63" spans="1:11" ht="12.75" customHeight="1" x14ac:dyDescent="0.25">
      <c r="A63" s="222" t="s">
        <v>366</v>
      </c>
      <c r="B63" s="222"/>
      <c r="C63" s="222"/>
      <c r="D63" s="222"/>
      <c r="E63" s="222"/>
      <c r="F63" s="222"/>
      <c r="G63" s="12">
        <v>56</v>
      </c>
      <c r="H63" s="48">
        <f>+IF((H60-H61)&gt;0,(H60-H61),0)</f>
        <v>148739</v>
      </c>
      <c r="I63" s="48">
        <f t="shared" ref="I63:K63" si="3">+IF((I60-I61)&gt;0,(I60-I61),0)</f>
        <v>0</v>
      </c>
      <c r="J63" s="48">
        <f t="shared" si="3"/>
        <v>90487</v>
      </c>
      <c r="K63" s="48">
        <f t="shared" si="3"/>
        <v>70487</v>
      </c>
    </row>
    <row r="64" spans="1:11" ht="12.75" customHeight="1" x14ac:dyDescent="0.25">
      <c r="A64" s="222" t="s">
        <v>367</v>
      </c>
      <c r="B64" s="222"/>
      <c r="C64" s="222"/>
      <c r="D64" s="222"/>
      <c r="E64" s="222"/>
      <c r="F64" s="222"/>
      <c r="G64" s="12">
        <v>57</v>
      </c>
      <c r="H64" s="48">
        <f>+IF((H60-H61)&lt;0,(H60-H61),0)</f>
        <v>0</v>
      </c>
      <c r="I64" s="48">
        <f t="shared" ref="I64:K64" si="4">+IF((I60-I61)&lt;0,(I60-I61),0)</f>
        <v>-23356</v>
      </c>
      <c r="J64" s="48">
        <f t="shared" si="4"/>
        <v>0</v>
      </c>
      <c r="K64" s="48">
        <f t="shared" si="4"/>
        <v>0</v>
      </c>
    </row>
    <row r="65" spans="1:11" ht="12.75" customHeight="1" x14ac:dyDescent="0.25">
      <c r="A65" s="223" t="s">
        <v>111</v>
      </c>
      <c r="B65" s="223"/>
      <c r="C65" s="223"/>
      <c r="D65" s="223"/>
      <c r="E65" s="223"/>
      <c r="F65" s="223"/>
      <c r="G65" s="11">
        <v>58</v>
      </c>
      <c r="H65" s="49">
        <v>14874</v>
      </c>
      <c r="I65" s="49">
        <v>-2334</v>
      </c>
      <c r="J65" s="49">
        <v>9049</v>
      </c>
      <c r="K65" s="49">
        <f>9049-2000</f>
        <v>7049</v>
      </c>
    </row>
    <row r="66" spans="1:11" ht="12.75" customHeight="1" x14ac:dyDescent="0.25">
      <c r="A66" s="221" t="s">
        <v>368</v>
      </c>
      <c r="B66" s="221"/>
      <c r="C66" s="221"/>
      <c r="D66" s="221"/>
      <c r="E66" s="221"/>
      <c r="F66" s="221"/>
      <c r="G66" s="12">
        <v>59</v>
      </c>
      <c r="H66" s="48">
        <f>H62-H65</f>
        <v>133865</v>
      </c>
      <c r="I66" s="48">
        <f t="shared" ref="I66:K66" si="5">I62-I65</f>
        <v>-21022</v>
      </c>
      <c r="J66" s="48">
        <f t="shared" si="5"/>
        <v>81438</v>
      </c>
      <c r="K66" s="48">
        <f t="shared" si="5"/>
        <v>63438</v>
      </c>
    </row>
    <row r="67" spans="1:11" ht="12.75" customHeight="1" x14ac:dyDescent="0.25">
      <c r="A67" s="222" t="s">
        <v>369</v>
      </c>
      <c r="B67" s="222"/>
      <c r="C67" s="222"/>
      <c r="D67" s="222"/>
      <c r="E67" s="222"/>
      <c r="F67" s="222"/>
      <c r="G67" s="12">
        <v>60</v>
      </c>
      <c r="H67" s="48">
        <f>+IF((H62-H65)&gt;0,(H62-H65),0)</f>
        <v>133865</v>
      </c>
      <c r="I67" s="48">
        <f t="shared" ref="I67:K67" si="6">+IF((I62-I65)&gt;0,(I62-I65),0)</f>
        <v>0</v>
      </c>
      <c r="J67" s="48">
        <f t="shared" si="6"/>
        <v>81438</v>
      </c>
      <c r="K67" s="48">
        <f t="shared" si="6"/>
        <v>63438</v>
      </c>
    </row>
    <row r="68" spans="1:11" ht="12.75" customHeight="1" x14ac:dyDescent="0.25">
      <c r="A68" s="222" t="s">
        <v>370</v>
      </c>
      <c r="B68" s="222"/>
      <c r="C68" s="222"/>
      <c r="D68" s="222"/>
      <c r="E68" s="222"/>
      <c r="F68" s="222"/>
      <c r="G68" s="12">
        <v>61</v>
      </c>
      <c r="H68" s="48">
        <f>+IF((H62-H65)&lt;0,(H62-H65),0)</f>
        <v>0</v>
      </c>
      <c r="I68" s="48">
        <f t="shared" ref="I68:K68" si="7">+IF((I62-I65)&lt;0,(I62-I65),0)</f>
        <v>-21022</v>
      </c>
      <c r="J68" s="48">
        <f t="shared" si="7"/>
        <v>0</v>
      </c>
      <c r="K68" s="48">
        <f t="shared" si="7"/>
        <v>0</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133865</v>
      </c>
      <c r="I89" s="52">
        <v>-21022</v>
      </c>
      <c r="J89" s="52">
        <v>81438</v>
      </c>
      <c r="K89" s="52">
        <v>63438</v>
      </c>
    </row>
    <row r="90" spans="1:11" ht="24" customHeight="1" x14ac:dyDescent="0.25">
      <c r="A90" s="192" t="s">
        <v>437</v>
      </c>
      <c r="B90" s="192"/>
      <c r="C90" s="192"/>
      <c r="D90" s="192"/>
      <c r="E90" s="192"/>
      <c r="F90" s="192"/>
      <c r="G90" s="12">
        <v>79</v>
      </c>
      <c r="H90" s="69">
        <f>H91+H98</f>
        <v>44360</v>
      </c>
      <c r="I90" s="69">
        <f>I91+I98</f>
        <v>8354</v>
      </c>
      <c r="J90" s="69">
        <f t="shared" ref="J90:K90" si="8">J91+J98</f>
        <v>125978</v>
      </c>
      <c r="K90" s="69">
        <f t="shared" si="8"/>
        <v>116297</v>
      </c>
    </row>
    <row r="91" spans="1:11" ht="24" customHeight="1" x14ac:dyDescent="0.25">
      <c r="A91" s="212" t="s">
        <v>444</v>
      </c>
      <c r="B91" s="212"/>
      <c r="C91" s="212"/>
      <c r="D91" s="212"/>
      <c r="E91" s="212"/>
      <c r="F91" s="212"/>
      <c r="G91" s="12">
        <v>80</v>
      </c>
      <c r="H91" s="69">
        <f>SUM(H92:H96)</f>
        <v>44360</v>
      </c>
      <c r="I91" s="69">
        <f>SUM(I92:I96)</f>
        <v>8354</v>
      </c>
      <c r="J91" s="69">
        <f t="shared" ref="J91:K91" si="9">SUM(J92:J96)</f>
        <v>125978</v>
      </c>
      <c r="K91" s="69">
        <f t="shared" si="9"/>
        <v>116297</v>
      </c>
    </row>
    <row r="92" spans="1:11" ht="25.5" customHeight="1" x14ac:dyDescent="0.25">
      <c r="A92" s="214" t="s">
        <v>382</v>
      </c>
      <c r="B92" s="214"/>
      <c r="C92" s="214"/>
      <c r="D92" s="214"/>
      <c r="E92" s="214"/>
      <c r="F92" s="214"/>
      <c r="G92" s="12">
        <v>81</v>
      </c>
      <c r="H92" s="52">
        <v>44360</v>
      </c>
      <c r="I92" s="52">
        <v>8354</v>
      </c>
      <c r="J92" s="52">
        <v>125978</v>
      </c>
      <c r="K92" s="52">
        <v>116297</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44360</v>
      </c>
      <c r="I108" s="69">
        <f>I91+I98-I107-I97</f>
        <v>8354</v>
      </c>
      <c r="J108" s="69">
        <f t="shared" ref="J108:K108" si="11">J91+J98-J107-J97</f>
        <v>125978</v>
      </c>
      <c r="K108" s="69">
        <f t="shared" si="11"/>
        <v>116297</v>
      </c>
    </row>
    <row r="109" spans="1:11" ht="12.75" customHeight="1" x14ac:dyDescent="0.25">
      <c r="A109" s="192" t="s">
        <v>393</v>
      </c>
      <c r="B109" s="192"/>
      <c r="C109" s="192"/>
      <c r="D109" s="192"/>
      <c r="E109" s="192"/>
      <c r="F109" s="192"/>
      <c r="G109" s="12">
        <v>98</v>
      </c>
      <c r="H109" s="51">
        <f>H89+H108</f>
        <v>178225</v>
      </c>
      <c r="I109" s="51">
        <f>I89+I108</f>
        <v>-12668</v>
      </c>
      <c r="J109" s="51">
        <f t="shared" ref="J109:K109" si="12">J89+J108</f>
        <v>207416</v>
      </c>
      <c r="K109" s="51">
        <f t="shared" si="12"/>
        <v>179735</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 zoomScale="85" zoomScaleNormal="100" zoomScaleSheetLayoutView="85" workbookViewId="0">
      <selection activeCell="I51" sqref="I51"/>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466</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463</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148739</v>
      </c>
      <c r="I8" s="64">
        <v>90487</v>
      </c>
    </row>
    <row r="9" spans="1:9" ht="12.75" customHeight="1" x14ac:dyDescent="0.25">
      <c r="A9" s="245" t="s">
        <v>171</v>
      </c>
      <c r="B9" s="245"/>
      <c r="C9" s="245"/>
      <c r="D9" s="245"/>
      <c r="E9" s="245"/>
      <c r="F9" s="245"/>
      <c r="G9" s="65">
        <v>2</v>
      </c>
      <c r="H9" s="66">
        <f>H10+H11+H12+H13+H14+H15+H16+H17</f>
        <v>289523</v>
      </c>
      <c r="I9" s="66">
        <f>I10+I11+I12+I13+I14+I15+I16+I17</f>
        <v>50433</v>
      </c>
    </row>
    <row r="10" spans="1:9" ht="12.75" customHeight="1" x14ac:dyDescent="0.25">
      <c r="A10" s="224" t="s">
        <v>172</v>
      </c>
      <c r="B10" s="224"/>
      <c r="C10" s="224"/>
      <c r="D10" s="224"/>
      <c r="E10" s="224"/>
      <c r="F10" s="224"/>
      <c r="G10" s="63">
        <v>3</v>
      </c>
      <c r="H10" s="64">
        <v>12352</v>
      </c>
      <c r="I10" s="64">
        <v>12575</v>
      </c>
    </row>
    <row r="11" spans="1:9" ht="22.2" customHeight="1" x14ac:dyDescent="0.25">
      <c r="A11" s="224" t="s">
        <v>173</v>
      </c>
      <c r="B11" s="224"/>
      <c r="C11" s="224"/>
      <c r="D11" s="224"/>
      <c r="E11" s="224"/>
      <c r="F11" s="224"/>
      <c r="G11" s="63">
        <v>4</v>
      </c>
      <c r="H11" s="64">
        <f>1338+1243+2066+11975+138755+133709-3309-6940-843-823</f>
        <v>277171</v>
      </c>
      <c r="I11" s="64">
        <v>37858</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0</v>
      </c>
      <c r="I13" s="64">
        <v>0</v>
      </c>
    </row>
    <row r="14" spans="1:9" ht="12.75" customHeight="1" x14ac:dyDescent="0.25">
      <c r="A14" s="224" t="s">
        <v>176</v>
      </c>
      <c r="B14" s="224"/>
      <c r="C14" s="224"/>
      <c r="D14" s="224"/>
      <c r="E14" s="224"/>
      <c r="F14" s="224"/>
      <c r="G14" s="63">
        <v>7</v>
      </c>
      <c r="H14" s="64">
        <v>0</v>
      </c>
      <c r="I14" s="64">
        <v>0</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0</v>
      </c>
      <c r="I17" s="64">
        <v>0</v>
      </c>
    </row>
    <row r="18" spans="1:9" ht="28.2" customHeight="1" x14ac:dyDescent="0.25">
      <c r="A18" s="241" t="s">
        <v>306</v>
      </c>
      <c r="B18" s="241"/>
      <c r="C18" s="241"/>
      <c r="D18" s="241"/>
      <c r="E18" s="241"/>
      <c r="F18" s="241"/>
      <c r="G18" s="65">
        <v>11</v>
      </c>
      <c r="H18" s="66">
        <f>H8+H9</f>
        <v>438262</v>
      </c>
      <c r="I18" s="66">
        <f>I8+I9</f>
        <v>140920</v>
      </c>
    </row>
    <row r="19" spans="1:9" ht="12.75" customHeight="1" x14ac:dyDescent="0.25">
      <c r="A19" s="245" t="s">
        <v>180</v>
      </c>
      <c r="B19" s="245"/>
      <c r="C19" s="245"/>
      <c r="D19" s="245"/>
      <c r="E19" s="245"/>
      <c r="F19" s="245"/>
      <c r="G19" s="65">
        <v>12</v>
      </c>
      <c r="H19" s="66">
        <f>H20+H21+H22+H23</f>
        <v>-31761</v>
      </c>
      <c r="I19" s="66">
        <f>I20+I21+I22+I23</f>
        <v>-101048</v>
      </c>
    </row>
    <row r="20" spans="1:9" ht="12.75" customHeight="1" x14ac:dyDescent="0.25">
      <c r="A20" s="224" t="s">
        <v>181</v>
      </c>
      <c r="B20" s="224"/>
      <c r="C20" s="224"/>
      <c r="D20" s="224"/>
      <c r="E20" s="224"/>
      <c r="F20" s="224"/>
      <c r="G20" s="63">
        <v>13</v>
      </c>
      <c r="H20" s="64">
        <v>3354</v>
      </c>
      <c r="I20" s="64">
        <v>-26942</v>
      </c>
    </row>
    <row r="21" spans="1:9" ht="12.75" customHeight="1" x14ac:dyDescent="0.25">
      <c r="A21" s="224" t="s">
        <v>182</v>
      </c>
      <c r="B21" s="224"/>
      <c r="C21" s="224"/>
      <c r="D21" s="224"/>
      <c r="E21" s="224"/>
      <c r="F21" s="224"/>
      <c r="G21" s="63">
        <v>14</v>
      </c>
      <c r="H21" s="64">
        <v>-35115</v>
      </c>
      <c r="I21" s="64">
        <v>-74106</v>
      </c>
    </row>
    <row r="22" spans="1:9" ht="12.75" customHeight="1" x14ac:dyDescent="0.25">
      <c r="A22" s="224" t="s">
        <v>183</v>
      </c>
      <c r="B22" s="224"/>
      <c r="C22" s="224"/>
      <c r="D22" s="224"/>
      <c r="E22" s="224"/>
      <c r="F22" s="224"/>
      <c r="G22" s="63">
        <v>15</v>
      </c>
      <c r="H22" s="64">
        <v>0</v>
      </c>
      <c r="I22" s="64">
        <v>0</v>
      </c>
    </row>
    <row r="23" spans="1:9" ht="12.75" customHeight="1" x14ac:dyDescent="0.25">
      <c r="A23" s="224" t="s">
        <v>184</v>
      </c>
      <c r="B23" s="224"/>
      <c r="C23" s="224"/>
      <c r="D23" s="224"/>
      <c r="E23" s="224"/>
      <c r="F23" s="224"/>
      <c r="G23" s="63">
        <v>16</v>
      </c>
      <c r="H23" s="64">
        <v>0</v>
      </c>
      <c r="I23" s="64">
        <v>0</v>
      </c>
    </row>
    <row r="24" spans="1:9" ht="12.75" customHeight="1" x14ac:dyDescent="0.25">
      <c r="A24" s="241" t="s">
        <v>185</v>
      </c>
      <c r="B24" s="241"/>
      <c r="C24" s="241"/>
      <c r="D24" s="241"/>
      <c r="E24" s="241"/>
      <c r="F24" s="241"/>
      <c r="G24" s="65">
        <v>17</v>
      </c>
      <c r="H24" s="66">
        <f>H18+H19</f>
        <v>406501</v>
      </c>
      <c r="I24" s="66">
        <f>I18+I19</f>
        <v>39872</v>
      </c>
    </row>
    <row r="25" spans="1:9" ht="12.75" customHeight="1" x14ac:dyDescent="0.25">
      <c r="A25" s="190" t="s">
        <v>186</v>
      </c>
      <c r="B25" s="190"/>
      <c r="C25" s="190"/>
      <c r="D25" s="190"/>
      <c r="E25" s="190"/>
      <c r="F25" s="190"/>
      <c r="G25" s="63">
        <v>18</v>
      </c>
      <c r="H25" s="64">
        <v>0</v>
      </c>
      <c r="I25" s="64">
        <v>0</v>
      </c>
    </row>
    <row r="26" spans="1:9" ht="12.75" customHeight="1" x14ac:dyDescent="0.25">
      <c r="A26" s="190" t="s">
        <v>187</v>
      </c>
      <c r="B26" s="190"/>
      <c r="C26" s="190"/>
      <c r="D26" s="190"/>
      <c r="E26" s="190"/>
      <c r="F26" s="190"/>
      <c r="G26" s="63">
        <v>19</v>
      </c>
      <c r="H26" s="64">
        <v>0</v>
      </c>
      <c r="I26" s="64">
        <v>0</v>
      </c>
    </row>
    <row r="27" spans="1:9" ht="25.95" customHeight="1" x14ac:dyDescent="0.25">
      <c r="A27" s="242" t="s">
        <v>188</v>
      </c>
      <c r="B27" s="242"/>
      <c r="C27" s="242"/>
      <c r="D27" s="242"/>
      <c r="E27" s="242"/>
      <c r="F27" s="242"/>
      <c r="G27" s="65">
        <v>20</v>
      </c>
      <c r="H27" s="66">
        <f>H24+H25+H26</f>
        <v>406501</v>
      </c>
      <c r="I27" s="66">
        <f>I24+I25+I26</f>
        <v>39872</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0</v>
      </c>
      <c r="I31" s="67">
        <v>0</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0</v>
      </c>
      <c r="I35" s="68">
        <f>I29+I30+I31+I32+I33+I34</f>
        <v>0</v>
      </c>
    </row>
    <row r="36" spans="1:9" ht="22.95" customHeight="1" x14ac:dyDescent="0.25">
      <c r="A36" s="190" t="s">
        <v>197</v>
      </c>
      <c r="B36" s="190"/>
      <c r="C36" s="190"/>
      <c r="D36" s="190"/>
      <c r="E36" s="190"/>
      <c r="F36" s="190"/>
      <c r="G36" s="63">
        <v>28</v>
      </c>
      <c r="H36" s="67">
        <f>-(447+950+23875+5765+3700+38741)</f>
        <v>-73478</v>
      </c>
      <c r="I36" s="67">
        <v>-48579</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-2500</v>
      </c>
      <c r="I39" s="67">
        <v>0</v>
      </c>
    </row>
    <row r="40" spans="1:9" ht="12.75" customHeight="1" x14ac:dyDescent="0.25">
      <c r="A40" s="190" t="s">
        <v>201</v>
      </c>
      <c r="B40" s="190"/>
      <c r="C40" s="190"/>
      <c r="D40" s="190"/>
      <c r="E40" s="190"/>
      <c r="F40" s="190"/>
      <c r="G40" s="63">
        <v>32</v>
      </c>
      <c r="H40" s="67">
        <v>-53398</v>
      </c>
      <c r="I40" s="67">
        <v>-96258</v>
      </c>
    </row>
    <row r="41" spans="1:9" ht="24" customHeight="1" x14ac:dyDescent="0.25">
      <c r="A41" s="241" t="s">
        <v>202</v>
      </c>
      <c r="B41" s="241"/>
      <c r="C41" s="241"/>
      <c r="D41" s="241"/>
      <c r="E41" s="241"/>
      <c r="F41" s="241"/>
      <c r="G41" s="65">
        <v>33</v>
      </c>
      <c r="H41" s="68">
        <f>H36+H37+H38+H39+H40</f>
        <v>-129376</v>
      </c>
      <c r="I41" s="68">
        <f>I36+I37+I38+I39+I40</f>
        <v>-144837</v>
      </c>
    </row>
    <row r="42" spans="1:9" ht="29.4" customHeight="1" x14ac:dyDescent="0.25">
      <c r="A42" s="242" t="s">
        <v>203</v>
      </c>
      <c r="B42" s="242"/>
      <c r="C42" s="242"/>
      <c r="D42" s="242"/>
      <c r="E42" s="242"/>
      <c r="F42" s="242"/>
      <c r="G42" s="65">
        <v>34</v>
      </c>
      <c r="H42" s="68">
        <f>H35+H41</f>
        <v>-129376</v>
      </c>
      <c r="I42" s="68">
        <f>I35+I41</f>
        <v>-144837</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40851</v>
      </c>
    </row>
    <row r="47" spans="1:9" ht="12.75" customHeight="1" x14ac:dyDescent="0.25">
      <c r="A47" s="190" t="s">
        <v>208</v>
      </c>
      <c r="B47" s="190"/>
      <c r="C47" s="190"/>
      <c r="D47" s="190"/>
      <c r="E47" s="190"/>
      <c r="F47" s="190"/>
      <c r="G47" s="63">
        <v>38</v>
      </c>
      <c r="H47" s="67">
        <v>0</v>
      </c>
      <c r="I47" s="67">
        <v>133500</v>
      </c>
    </row>
    <row r="48" spans="1:9" ht="22.2" customHeight="1" x14ac:dyDescent="0.25">
      <c r="A48" s="241" t="s">
        <v>209</v>
      </c>
      <c r="B48" s="241"/>
      <c r="C48" s="241"/>
      <c r="D48" s="241"/>
      <c r="E48" s="241"/>
      <c r="F48" s="241"/>
      <c r="G48" s="65">
        <v>39</v>
      </c>
      <c r="H48" s="68">
        <f>H44+H45+H46+H47</f>
        <v>0</v>
      </c>
      <c r="I48" s="68">
        <f>I44+I45+I46+I47</f>
        <v>174351</v>
      </c>
    </row>
    <row r="49" spans="1:9" ht="24.6" customHeight="1" x14ac:dyDescent="0.25">
      <c r="A49" s="190" t="s">
        <v>305</v>
      </c>
      <c r="B49" s="190"/>
      <c r="C49" s="190"/>
      <c r="D49" s="190"/>
      <c r="E49" s="190"/>
      <c r="F49" s="190"/>
      <c r="G49" s="63">
        <v>40</v>
      </c>
      <c r="H49" s="67">
        <v>-104930</v>
      </c>
      <c r="I49" s="67">
        <v>-276000</v>
      </c>
    </row>
    <row r="50" spans="1:9" ht="12.75" customHeight="1" x14ac:dyDescent="0.25">
      <c r="A50" s="190" t="s">
        <v>210</v>
      </c>
      <c r="B50" s="190"/>
      <c r="C50" s="190"/>
      <c r="D50" s="190"/>
      <c r="E50" s="190"/>
      <c r="F50" s="190"/>
      <c r="G50" s="63">
        <v>41</v>
      </c>
      <c r="H50" s="67">
        <v>-48417</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-153347</v>
      </c>
      <c r="I54" s="68">
        <f>I49+I50+I51+I52+I53</f>
        <v>-276000</v>
      </c>
    </row>
    <row r="55" spans="1:9" ht="29.4" customHeight="1" x14ac:dyDescent="0.25">
      <c r="A55" s="242" t="s">
        <v>215</v>
      </c>
      <c r="B55" s="242"/>
      <c r="C55" s="242"/>
      <c r="D55" s="242"/>
      <c r="E55" s="242"/>
      <c r="F55" s="242"/>
      <c r="G55" s="65">
        <v>46</v>
      </c>
      <c r="H55" s="68">
        <f>H48+H54</f>
        <v>-153347</v>
      </c>
      <c r="I55" s="68">
        <f>I48+I54</f>
        <v>-101649</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123778</v>
      </c>
      <c r="I57" s="68">
        <f>I27+I42+I55+I56</f>
        <v>-206614</v>
      </c>
    </row>
    <row r="58" spans="1:9" x14ac:dyDescent="0.25">
      <c r="A58" s="244" t="s">
        <v>218</v>
      </c>
      <c r="B58" s="244"/>
      <c r="C58" s="244"/>
      <c r="D58" s="244"/>
      <c r="E58" s="244"/>
      <c r="F58" s="244"/>
      <c r="G58" s="63">
        <v>49</v>
      </c>
      <c r="H58" s="67">
        <v>14965</v>
      </c>
      <c r="I58" s="67">
        <v>564288</v>
      </c>
    </row>
    <row r="59" spans="1:9" ht="31.2" customHeight="1" x14ac:dyDescent="0.25">
      <c r="A59" s="242" t="s">
        <v>219</v>
      </c>
      <c r="B59" s="242"/>
      <c r="C59" s="242"/>
      <c r="D59" s="242"/>
      <c r="E59" s="242"/>
      <c r="F59" s="242"/>
      <c r="G59" s="65">
        <v>50</v>
      </c>
      <c r="H59" s="68">
        <f>H57+H58</f>
        <v>138743</v>
      </c>
      <c r="I59" s="68">
        <f>I57+I58</f>
        <v>357674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3" sqref="I5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G35" zoomScale="80" zoomScaleNormal="100" zoomScaleSheetLayoutView="80" workbookViewId="0">
      <selection activeCell="V41" sqref="V4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45838</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1000000</v>
      </c>
      <c r="I7" s="33">
        <v>2313160</v>
      </c>
      <c r="J7" s="33">
        <v>23890</v>
      </c>
      <c r="K7" s="33">
        <v>0</v>
      </c>
      <c r="L7" s="33">
        <v>0</v>
      </c>
      <c r="M7" s="33">
        <v>0</v>
      </c>
      <c r="N7" s="33">
        <v>0</v>
      </c>
      <c r="O7" s="33">
        <v>-469727</v>
      </c>
      <c r="P7" s="33">
        <v>0</v>
      </c>
      <c r="Q7" s="33">
        <v>0</v>
      </c>
      <c r="R7" s="33">
        <v>0</v>
      </c>
      <c r="S7" s="33">
        <v>0</v>
      </c>
      <c r="T7" s="33">
        <v>0</v>
      </c>
      <c r="U7" s="33">
        <v>734640</v>
      </c>
      <c r="V7" s="33">
        <v>451016</v>
      </c>
      <c r="W7" s="34">
        <f>H7+I7+J7+K7-L7+M7+N7+O7+P7+Q7+R7+U7+V7+S7+T7</f>
        <v>4052979</v>
      </c>
      <c r="X7" s="33">
        <v>0</v>
      </c>
      <c r="Y7" s="34">
        <f>W7+X7</f>
        <v>4052979</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1000000</v>
      </c>
      <c r="I10" s="34">
        <f t="shared" ref="I10:Y10" si="2">I7+I8+I9</f>
        <v>2313160</v>
      </c>
      <c r="J10" s="34">
        <f t="shared" si="2"/>
        <v>23890</v>
      </c>
      <c r="K10" s="34">
        <f>K7+K8+K9</f>
        <v>0</v>
      </c>
      <c r="L10" s="34">
        <f t="shared" si="2"/>
        <v>0</v>
      </c>
      <c r="M10" s="34">
        <f t="shared" si="2"/>
        <v>0</v>
      </c>
      <c r="N10" s="34">
        <f t="shared" si="2"/>
        <v>0</v>
      </c>
      <c r="O10" s="34">
        <f t="shared" si="2"/>
        <v>-469727</v>
      </c>
      <c r="P10" s="34">
        <f t="shared" si="2"/>
        <v>0</v>
      </c>
      <c r="Q10" s="34">
        <f t="shared" si="2"/>
        <v>0</v>
      </c>
      <c r="R10" s="34">
        <f t="shared" si="2"/>
        <v>0</v>
      </c>
      <c r="S10" s="34">
        <f t="shared" si="2"/>
        <v>0</v>
      </c>
      <c r="T10" s="34">
        <f t="shared" si="2"/>
        <v>0</v>
      </c>
      <c r="U10" s="34">
        <f t="shared" si="2"/>
        <v>734640</v>
      </c>
      <c r="V10" s="34">
        <f t="shared" si="2"/>
        <v>451016</v>
      </c>
      <c r="W10" s="34">
        <f t="shared" si="2"/>
        <v>4052979</v>
      </c>
      <c r="X10" s="34">
        <f t="shared" si="2"/>
        <v>0</v>
      </c>
      <c r="Y10" s="34">
        <f t="shared" si="2"/>
        <v>4052979</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569047</v>
      </c>
      <c r="W11" s="34">
        <f t="shared" ref="W11:W29" si="3">H11+I11+J11+K11-L11+M11+N11+O11+P11+Q11+R11+U11+V11+S11+T11</f>
        <v>569047</v>
      </c>
      <c r="X11" s="33">
        <v>0</v>
      </c>
      <c r="Y11" s="34">
        <f t="shared" ref="Y11:Y29" si="4">W11+X11</f>
        <v>569047</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61256</v>
      </c>
      <c r="P13" s="35">
        <v>0</v>
      </c>
      <c r="Q13" s="35">
        <v>0</v>
      </c>
      <c r="R13" s="35">
        <v>0</v>
      </c>
      <c r="S13" s="33">
        <v>0</v>
      </c>
      <c r="T13" s="33">
        <v>0</v>
      </c>
      <c r="U13" s="33">
        <v>0</v>
      </c>
      <c r="V13" s="33">
        <v>0</v>
      </c>
      <c r="W13" s="34">
        <f t="shared" si="3"/>
        <v>61256</v>
      </c>
      <c r="X13" s="33">
        <v>0</v>
      </c>
      <c r="Y13" s="34">
        <f t="shared" si="4"/>
        <v>61256</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451016</v>
      </c>
      <c r="V28" s="33">
        <v>-451016</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-408471</v>
      </c>
      <c r="P30" s="36">
        <f t="shared" si="5"/>
        <v>0</v>
      </c>
      <c r="Q30" s="36">
        <f t="shared" si="5"/>
        <v>0</v>
      </c>
      <c r="R30" s="36">
        <f t="shared" si="5"/>
        <v>0</v>
      </c>
      <c r="S30" s="36">
        <f t="shared" si="5"/>
        <v>0</v>
      </c>
      <c r="T30" s="36">
        <f t="shared" si="5"/>
        <v>0</v>
      </c>
      <c r="U30" s="36">
        <f t="shared" si="5"/>
        <v>1185656</v>
      </c>
      <c r="V30" s="36">
        <f t="shared" si="5"/>
        <v>569047</v>
      </c>
      <c r="W30" s="36">
        <f t="shared" si="5"/>
        <v>4683282</v>
      </c>
      <c r="X30" s="36">
        <f t="shared" si="5"/>
        <v>0</v>
      </c>
      <c r="Y30" s="36">
        <f t="shared" si="5"/>
        <v>4683282</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61256</v>
      </c>
      <c r="P32" s="34">
        <f t="shared" si="6"/>
        <v>0</v>
      </c>
      <c r="Q32" s="34">
        <f t="shared" si="6"/>
        <v>0</v>
      </c>
      <c r="R32" s="34">
        <f t="shared" si="6"/>
        <v>0</v>
      </c>
      <c r="S32" s="34">
        <f t="shared" ref="S32:T32" si="7">SUM(S12:S20)</f>
        <v>0</v>
      </c>
      <c r="T32" s="34">
        <f t="shared" si="7"/>
        <v>0</v>
      </c>
      <c r="U32" s="34">
        <f t="shared" si="6"/>
        <v>0</v>
      </c>
      <c r="V32" s="34">
        <f t="shared" si="6"/>
        <v>0</v>
      </c>
      <c r="W32" s="34">
        <f t="shared" si="6"/>
        <v>61256</v>
      </c>
      <c r="X32" s="34">
        <f t="shared" si="6"/>
        <v>0</v>
      </c>
      <c r="Y32" s="34">
        <f t="shared" si="6"/>
        <v>61256</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61256</v>
      </c>
      <c r="P33" s="34">
        <f t="shared" si="8"/>
        <v>0</v>
      </c>
      <c r="Q33" s="34">
        <f t="shared" si="8"/>
        <v>0</v>
      </c>
      <c r="R33" s="34">
        <f t="shared" si="8"/>
        <v>0</v>
      </c>
      <c r="S33" s="34">
        <f t="shared" ref="S33:T33" si="9">S11+S32</f>
        <v>0</v>
      </c>
      <c r="T33" s="34">
        <f t="shared" si="9"/>
        <v>0</v>
      </c>
      <c r="U33" s="34">
        <f t="shared" si="8"/>
        <v>0</v>
      </c>
      <c r="V33" s="34">
        <f t="shared" si="8"/>
        <v>569047</v>
      </c>
      <c r="W33" s="34">
        <f t="shared" si="8"/>
        <v>630303</v>
      </c>
      <c r="X33" s="34">
        <f t="shared" si="8"/>
        <v>0</v>
      </c>
      <c r="Y33" s="34">
        <f t="shared" si="8"/>
        <v>630303</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451016</v>
      </c>
      <c r="V34" s="36">
        <f t="shared" si="10"/>
        <v>-451016</v>
      </c>
      <c r="W34" s="36">
        <f t="shared" si="10"/>
        <v>0</v>
      </c>
      <c r="X34" s="36">
        <f t="shared" si="10"/>
        <v>0</v>
      </c>
      <c r="Y34" s="36">
        <f t="shared" si="10"/>
        <v>0</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1000000</v>
      </c>
      <c r="I36" s="33">
        <v>2313160</v>
      </c>
      <c r="J36" s="33">
        <v>23890</v>
      </c>
      <c r="K36" s="33">
        <v>0</v>
      </c>
      <c r="L36" s="33">
        <v>0</v>
      </c>
      <c r="M36" s="33">
        <v>0</v>
      </c>
      <c r="N36" s="33">
        <v>0</v>
      </c>
      <c r="O36" s="33">
        <v>-408471</v>
      </c>
      <c r="P36" s="33">
        <v>0</v>
      </c>
      <c r="Q36" s="33">
        <v>0</v>
      </c>
      <c r="R36" s="33">
        <v>0</v>
      </c>
      <c r="S36" s="33">
        <v>0</v>
      </c>
      <c r="T36" s="33">
        <v>0</v>
      </c>
      <c r="U36" s="33">
        <v>1185656</v>
      </c>
      <c r="V36" s="33">
        <v>569047</v>
      </c>
      <c r="W36" s="37">
        <f>H36+I36+J36+K36-L36+M36+N36+O36+P36+Q36+R36+U36+V36+S36+T36</f>
        <v>4683282</v>
      </c>
      <c r="X36" s="33">
        <v>0</v>
      </c>
      <c r="Y36" s="37">
        <f t="shared" ref="Y36:Y38" si="12">W36+X36</f>
        <v>4683282</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-408471</v>
      </c>
      <c r="P39" s="34">
        <f t="shared" si="14"/>
        <v>0</v>
      </c>
      <c r="Q39" s="34">
        <f t="shared" si="14"/>
        <v>0</v>
      </c>
      <c r="R39" s="34">
        <f t="shared" si="14"/>
        <v>0</v>
      </c>
      <c r="S39" s="34">
        <f t="shared" si="14"/>
        <v>0</v>
      </c>
      <c r="T39" s="34">
        <f t="shared" si="14"/>
        <v>0</v>
      </c>
      <c r="U39" s="34">
        <f t="shared" si="14"/>
        <v>1185656</v>
      </c>
      <c r="V39" s="34">
        <f t="shared" si="14"/>
        <v>569047</v>
      </c>
      <c r="W39" s="34">
        <f t="shared" si="14"/>
        <v>4683282</v>
      </c>
      <c r="X39" s="34">
        <f t="shared" si="14"/>
        <v>0</v>
      </c>
      <c r="Y39" s="34">
        <f t="shared" si="14"/>
        <v>4683282</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81438</v>
      </c>
      <c r="W40" s="37">
        <f t="shared" ref="W40:W58" si="15">H40+I40+J40+K40-L40+M40+N40+O40+P40+Q40+R40+U40+V40+S40+T40</f>
        <v>81438</v>
      </c>
      <c r="X40" s="33">
        <v>0</v>
      </c>
      <c r="Y40" s="37">
        <f t="shared" ref="Y40:Y58" si="16">W40+X40</f>
        <v>81438</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125978</v>
      </c>
      <c r="P42" s="35">
        <v>0</v>
      </c>
      <c r="Q42" s="35">
        <v>0</v>
      </c>
      <c r="R42" s="35">
        <v>0</v>
      </c>
      <c r="S42" s="33">
        <v>0</v>
      </c>
      <c r="T42" s="33">
        <v>0</v>
      </c>
      <c r="U42" s="33">
        <v>0</v>
      </c>
      <c r="V42" s="33">
        <v>0</v>
      </c>
      <c r="W42" s="37">
        <f t="shared" si="15"/>
        <v>125978</v>
      </c>
      <c r="X42" s="33">
        <v>0</v>
      </c>
      <c r="Y42" s="37">
        <f t="shared" si="16"/>
        <v>125978</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569047</v>
      </c>
      <c r="V57" s="33">
        <v>-569047</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-282493</v>
      </c>
      <c r="P59" s="36">
        <f t="shared" si="17"/>
        <v>0</v>
      </c>
      <c r="Q59" s="36">
        <f t="shared" si="17"/>
        <v>0</v>
      </c>
      <c r="R59" s="36">
        <f t="shared" si="17"/>
        <v>0</v>
      </c>
      <c r="S59" s="36">
        <f t="shared" si="17"/>
        <v>0</v>
      </c>
      <c r="T59" s="36">
        <f t="shared" si="17"/>
        <v>0</v>
      </c>
      <c r="U59" s="36">
        <f t="shared" si="17"/>
        <v>1754703</v>
      </c>
      <c r="V59" s="36">
        <f t="shared" si="17"/>
        <v>81438</v>
      </c>
      <c r="W59" s="36">
        <f t="shared" si="17"/>
        <v>4890698</v>
      </c>
      <c r="X59" s="36">
        <f t="shared" si="17"/>
        <v>0</v>
      </c>
      <c r="Y59" s="36">
        <f t="shared" si="17"/>
        <v>4890698</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125978</v>
      </c>
      <c r="P61" s="37">
        <f t="shared" si="18"/>
        <v>0</v>
      </c>
      <c r="Q61" s="37">
        <f t="shared" si="18"/>
        <v>0</v>
      </c>
      <c r="R61" s="37">
        <f t="shared" si="18"/>
        <v>0</v>
      </c>
      <c r="S61" s="37">
        <f t="shared" ref="S61:T61" si="19">SUM(S41:S49)</f>
        <v>0</v>
      </c>
      <c r="T61" s="37">
        <f t="shared" si="19"/>
        <v>0</v>
      </c>
      <c r="U61" s="37">
        <f t="shared" si="18"/>
        <v>0</v>
      </c>
      <c r="V61" s="37">
        <f t="shared" si="18"/>
        <v>0</v>
      </c>
      <c r="W61" s="37">
        <f t="shared" si="18"/>
        <v>125978</v>
      </c>
      <c r="X61" s="37">
        <f t="shared" si="18"/>
        <v>0</v>
      </c>
      <c r="Y61" s="37">
        <f t="shared" si="18"/>
        <v>125978</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125978</v>
      </c>
      <c r="P62" s="37">
        <f t="shared" si="20"/>
        <v>0</v>
      </c>
      <c r="Q62" s="37">
        <f t="shared" si="20"/>
        <v>0</v>
      </c>
      <c r="R62" s="37">
        <f t="shared" si="20"/>
        <v>0</v>
      </c>
      <c r="S62" s="37">
        <f t="shared" ref="S62:T62" si="21">S40+S61</f>
        <v>0</v>
      </c>
      <c r="T62" s="37">
        <f t="shared" si="21"/>
        <v>0</v>
      </c>
      <c r="U62" s="37">
        <f t="shared" si="20"/>
        <v>0</v>
      </c>
      <c r="V62" s="37">
        <f t="shared" si="20"/>
        <v>81438</v>
      </c>
      <c r="W62" s="37">
        <f t="shared" si="20"/>
        <v>207416</v>
      </c>
      <c r="X62" s="37">
        <f t="shared" si="20"/>
        <v>0</v>
      </c>
      <c r="Y62" s="37">
        <f t="shared" si="20"/>
        <v>207416</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569047</v>
      </c>
      <c r="V63" s="38">
        <f t="shared" si="22"/>
        <v>-569047</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66" zoomScaleNormal="66" workbookViewId="0">
      <selection activeCell="R22" sqref="R22"/>
    </sheetView>
  </sheetViews>
  <sheetFormatPr defaultRowHeight="13.2" x14ac:dyDescent="0.25"/>
  <cols>
    <col min="9" max="9" width="95" customWidth="1"/>
  </cols>
  <sheetData>
    <row r="1" spans="1:9" ht="13.2" customHeight="1" x14ac:dyDescent="0.25">
      <c r="A1" s="302" t="s">
        <v>467</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2025-07-16T08:11:18Z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