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410" windowHeight="12195" firstSheet="2"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2"/>
          </rPr>
          <t>Naputak:</t>
        </r>
        <r>
          <rPr>
            <sz val="9"/>
            <rFont val="Tahoma"/>
            <family val="2"/>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<sst xmlns="http://schemas.openxmlformats.org/spreadsheetml/2006/main" count="3926" uniqueCount="3022">
  <si>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</si>
  <si>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</si>
  <si>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</si>
  <si>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</si>
  <si>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</si>
  <si>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</si>
  <si>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</si>
  <si>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</si>
  <si>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</si>
  <si>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</si>
  <si>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</si>
  <si>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</si>
  <si>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</si>
  <si>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</si>
  <si>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</si>
  <si>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</si>
  <si>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</si>
  <si>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</si>
  <si>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</si>
  <si>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</si>
  <si>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</si>
  <si>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</si>
  <si>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</si>
  <si>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</si>
  <si>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</si>
  <si>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</si>
  <si>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</si>
  <si>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</si>
  <si>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</si>
  <si>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</si>
  <si>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</si>
  <si>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</si>
  <si>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</si>
  <si>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</si>
  <si>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</si>
  <si>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</si>
  <si>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</si>
  <si>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</si>
  <si>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</si>
  <si>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</si>
  <si>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</si>
  <si>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</si>
  <si>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</si>
  <si>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</si>
  <si>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</si>
  <si>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</si>
  <si>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</si>
  <si>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</si>
  <si>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</si>
  <si>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</si>
  <si>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</si>
  <si>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</si>
  <si>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</si>
  <si>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</si>
  <si>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</si>
  <si>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</si>
  <si>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</si>
  <si>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</si>
  <si>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</si>
  <si>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</si>
  <si>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</si>
  <si>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</si>
  <si>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</si>
  <si>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</si>
  <si>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</si>
  <si>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</si>
  <si>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</si>
  <si>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</si>
  <si>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</si>
  <si>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</si>
  <si>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</si>
  <si>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</si>
  <si>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</si>
  <si>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</si>
  <si>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</si>
  <si>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</si>
  <si>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</si>
  <si>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</si>
  <si>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</si>
  <si>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</si>
  <si>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</si>
  <si>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</si>
  <si>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</si>
  <si>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</si>
  <si>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</si>
  <si>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</si>
  <si>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</si>
  <si>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</si>
  <si>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</si>
  <si>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</si>
  <si>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</si>
  <si>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</si>
  <si>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</si>
  <si>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</si>
  <si>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</si>
  <si>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</si>
  <si>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</si>
  <si>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</si>
  <si>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</si>
  <si>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</si>
  <si>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</si>
  <si>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</si>
  <si>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</si>
  <si>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</si>
  <si>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</si>
  <si>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</si>
  <si>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</si>
  <si>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</si>
  <si>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</si>
  <si>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</si>
  <si>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</si>
  <si>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</si>
  <si>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</si>
  <si>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</si>
  <si>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</si>
  <si>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</si>
  <si>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</si>
  <si>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</si>
  <si>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</si>
  <si>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</si>
  <si>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</si>
  <si>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</si>
  <si>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</si>
  <si>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</si>
  <si>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</si>
  <si>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</si>
  <si>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</si>
  <si>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</si>
  <si>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</si>
  <si>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</si>
  <si>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</si>
  <si>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</si>
  <si>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</si>
  <si>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</si>
  <si>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</si>
  <si>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</si>
  <si>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</si>
  <si>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</si>
  <si>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</si>
  <si>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</si>
  <si>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</si>
  <si>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</si>
  <si>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</si>
  <si>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</si>
  <si>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</si>
  <si>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</si>
  <si>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</si>
  <si>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</si>
  <si>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</si>
  <si>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</si>
  <si>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</si>
  <si>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</si>
  <si>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</si>
  <si>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</si>
  <si>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</si>
  <si>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</si>
  <si>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</si>
  <si>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</si>
  <si>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</si>
  <si>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</si>
  <si>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</si>
  <si>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</si>
  <si>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</si>
  <si>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</si>
  <si>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</si>
  <si>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</si>
  <si>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</si>
  <si>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</si>
  <si>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</si>
  <si>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</si>
  <si>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</si>
  <si>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</si>
  <si>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</si>
  <si>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</si>
  <si>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</si>
  <si>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</si>
  <si>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</si>
  <si>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</si>
  <si>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</si>
  <si>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</si>
  <si>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</si>
  <si>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</si>
  <si>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</si>
  <si>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</si>
  <si>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</si>
  <si>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</si>
  <si>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</si>
  <si>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</si>
  <si>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</si>
  <si>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</si>
  <si>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</si>
  <si>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</si>
  <si>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</si>
  <si>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</si>
  <si>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</si>
  <si>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</si>
  <si>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</si>
  <si>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</si>
  <si>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</si>
  <si>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</si>
  <si>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</si>
  <si>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</si>
  <si>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</si>
  <si>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</si>
  <si>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</si>
  <si>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</si>
  <si>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</si>
  <si>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</si>
  <si>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</si>
  <si>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</si>
  <si>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</si>
  <si>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</si>
  <si>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</si>
  <si>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</si>
  <si>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</si>
  <si>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</si>
  <si>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</si>
  <si>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</si>
  <si>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</si>
  <si>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</si>
  <si>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</si>
  <si>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</si>
  <si>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</si>
  <si>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</si>
  <si>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</si>
  <si>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</si>
  <si>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</si>
  <si>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</si>
  <si>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</si>
  <si>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</si>
  <si>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</si>
  <si>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</si>
  <si>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</si>
  <si>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</si>
  <si>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</si>
  <si>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</si>
  <si>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</si>
  <si>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</si>
  <si>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</si>
  <si>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</si>
  <si>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</si>
  <si>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</si>
  <si>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</si>
  <si>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</si>
  <si>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</si>
  <si>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</si>
  <si>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</si>
  <si>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</si>
  <si>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</si>
  <si>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</si>
  <si>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</si>
  <si>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</si>
  <si>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</si>
  <si>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</si>
  <si>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</si>
  <si>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</si>
  <si>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</si>
  <si>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</si>
  <si>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</si>
  <si>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</si>
  <si>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</si>
  <si>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</si>
  <si>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</si>
  <si>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</si>
  <si>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</si>
  <si>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</si>
  <si>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</si>
  <si>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</si>
  <si>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</si>
  <si>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</si>
  <si>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</si>
  <si>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</si>
  <si>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</si>
  <si>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</si>
  <si>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</si>
  <si>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</si>
  <si>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</si>
  <si>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</si>
  <si>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</si>
  <si>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</si>
  <si>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</si>
  <si>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</si>
  <si>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</si>
  <si>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</si>
  <si>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</si>
  <si>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</si>
  <si>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</si>
  <si>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</si>
  <si>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</si>
  <si>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</si>
  <si>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</si>
  <si>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</si>
  <si>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</si>
  <si>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</si>
  <si>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</si>
  <si>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</si>
  <si>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</si>
  <si>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</si>
  <si>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</si>
  <si>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</si>
  <si>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</si>
  <si>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</si>
  <si>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</si>
  <si>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</si>
  <si>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</si>
  <si>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</si>
  <si>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</si>
  <si>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</si>
  <si>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</si>
  <si>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</si>
  <si>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</si>
  <si>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</si>
  <si>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</si>
  <si>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</si>
  <si>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</si>
  <si>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</si>
  <si>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</si>
  <si>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</si>
  <si>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</si>
  <si>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</si>
  <si>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</si>
  <si>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</si>
  <si>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</si>
  <si>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</si>
  <si>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</si>
  <si>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</si>
  <si>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</si>
  <si>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</si>
  <si>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</si>
  <si>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</si>
  <si>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</si>
  <si>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</si>
  <si>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</si>
  <si>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</si>
  <si>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</si>
  <si>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</si>
  <si>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</si>
  <si>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</si>
  <si>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</si>
  <si>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</si>
  <si>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</si>
  <si>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</si>
  <si>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</si>
  <si>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</si>
  <si>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</si>
  <si>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</si>
  <si>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</si>
  <si>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</si>
  <si>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</si>
  <si>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</si>
  <si>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</si>
  <si>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</si>
  <si>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</si>
  <si>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</si>
  <si>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</si>
  <si>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</si>
  <si>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</si>
  <si>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</si>
  <si>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</si>
  <si>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</si>
  <si>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</si>
  <si>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</si>
  <si>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</si>
  <si>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</si>
  <si>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</si>
  <si>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</si>
  <si>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</si>
  <si>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</si>
  <si>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</si>
  <si>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</si>
  <si>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</si>
  <si>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</si>
  <si>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</si>
  <si>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</si>
  <si>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</si>
  <si>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</si>
  <si>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</si>
  <si>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</si>
  <si>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</si>
  <si>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</si>
  <si>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</si>
  <si>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</si>
  <si>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</si>
  <si>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</si>
  <si>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</si>
  <si>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</si>
  <si>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</si>
  <si>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</si>
  <si>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</si>
  <si>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</si>
  <si>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</si>
  <si>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</si>
  <si>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</si>
  <si>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</si>
  <si>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</si>
  <si>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</si>
  <si>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</si>
  <si>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</si>
  <si>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</si>
  <si>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</si>
  <si>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</si>
  <si>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</si>
  <si>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</si>
  <si>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</si>
  <si>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</si>
  <si>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</si>
  <si>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</si>
  <si>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</si>
  <si>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</si>
  <si>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</si>
  <si>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</si>
  <si>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</si>
  <si>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</si>
  <si>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</si>
  <si>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</si>
  <si>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</si>
  <si>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</si>
  <si>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</si>
  <si>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</si>
  <si>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</si>
  <si>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</si>
  <si>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</si>
  <si>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</si>
  <si>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</si>
  <si>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</si>
  <si>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</si>
  <si>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</si>
  <si>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</si>
  <si>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</si>
  <si>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</si>
  <si>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</si>
  <si>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</si>
  <si>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</si>
  <si>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</si>
  <si>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</si>
  <si>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</si>
  <si>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</si>
  <si>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</si>
  <si>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</si>
  <si>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</si>
  <si>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</si>
  <si>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</si>
  <si>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</si>
  <si>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</si>
  <si>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</si>
  <si>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</si>
  <si>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</si>
  <si>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</si>
  <si>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</si>
  <si>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</si>
  <si>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</si>
  <si>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</si>
  <si>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</si>
  <si>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</si>
  <si>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</si>
  <si>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</si>
  <si>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</si>
  <si>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</si>
  <si>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</si>
  <si>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</si>
  <si>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</si>
  <si>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</si>
  <si>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</si>
  <si>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</si>
  <si>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</si>
  <si>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</si>
  <si>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</si>
  <si>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</si>
  <si>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</si>
  <si>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</si>
  <si>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</si>
  <si>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</si>
  <si>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</si>
  <si>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</si>
  <si>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</si>
  <si>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</si>
  <si>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</si>
  <si>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</si>
  <si>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</si>
  <si>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</si>
  <si>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</si>
  <si>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</si>
  <si>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</si>
  <si>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</si>
  <si>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</si>
  <si>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</si>
  <si>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</si>
  <si>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</si>
  <si>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</si>
  <si>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</si>
  <si>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</si>
  <si>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</si>
  <si>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</si>
  <si>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</si>
  <si>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</si>
  <si>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</si>
  <si>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</si>
  <si>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</si>
  <si>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</si>
  <si>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</si>
  <si>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</si>
  <si>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</si>
  <si>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</si>
  <si>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</si>
  <si>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</si>
  <si>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</si>
  <si>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</si>
  <si>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</si>
  <si>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</si>
  <si>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</si>
  <si>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</si>
  <si>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</si>
  <si>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</si>
  <si>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</si>
  <si>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</si>
  <si>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</si>
  <si>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</si>
  <si>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</si>
  <si>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</si>
  <si>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</si>
  <si>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</si>
  <si>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</si>
  <si>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</si>
  <si>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</si>
  <si>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</si>
  <si>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</si>
  <si>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</si>
  <si>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</si>
  <si>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</si>
  <si>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</si>
  <si>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</si>
  <si>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</si>
  <si>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</si>
  <si>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</si>
  <si>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</si>
  <si>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</si>
  <si>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</si>
  <si>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</si>
  <si>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</si>
  <si>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</si>
  <si>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</si>
  <si>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</si>
  <si>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</si>
  <si>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</si>
  <si>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</si>
  <si>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</si>
  <si>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</si>
  <si>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</si>
  <si>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</si>
  <si>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</si>
  <si>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</si>
  <si>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</si>
  <si>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</si>
  <si>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</si>
  <si>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</si>
  <si>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</si>
  <si>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</si>
  <si>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</si>
  <si>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</si>
  <si>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</si>
  <si>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</si>
  <si>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</si>
  <si>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</si>
  <si>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</si>
  <si>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</si>
  <si>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</si>
  <si>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</si>
  <si>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</si>
  <si>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</si>
  <si>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</si>
  <si>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</si>
  <si>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</si>
  <si>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</si>
  <si>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</si>
  <si>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</si>
  <si>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</si>
  <si>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</si>
  <si>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</si>
  <si>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</si>
  <si>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</si>
  <si>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</si>
  <si>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</si>
  <si>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</si>
  <si>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</si>
  <si>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</si>
  <si>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</si>
  <si>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</si>
  <si>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</si>
  <si>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</si>
  <si>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</si>
  <si>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</si>
  <si>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</si>
  <si>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</si>
  <si>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</si>
  <si>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</si>
  <si>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</si>
  <si>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</si>
  <si>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</si>
  <si>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</si>
  <si>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</si>
  <si>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</si>
  <si>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</si>
  <si>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</si>
  <si>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</si>
  <si>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</si>
  <si>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</si>
  <si>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</si>
  <si>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</si>
  <si>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</si>
  <si>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</si>
  <si>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</si>
  <si>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</si>
  <si>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</si>
  <si>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</si>
  <si>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</si>
  <si>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</si>
  <si>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</si>
  <si>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</si>
  <si>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</si>
  <si>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</si>
  <si>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</si>
  <si>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</si>
  <si>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</si>
  <si>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</si>
  <si>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</si>
  <si>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</si>
  <si>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</si>
  <si>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</si>
  <si>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</si>
  <si>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</si>
  <si>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</si>
  <si>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</si>
  <si>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</si>
  <si>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</si>
  <si>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</si>
  <si>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</si>
  <si>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</si>
  <si>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</si>
  <si>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</si>
  <si>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</si>
  <si>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</si>
  <si>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</si>
  <si>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</si>
  <si>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</si>
  <si>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</si>
  <si>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</si>
  <si>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</si>
  <si>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</si>
  <si>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</si>
  <si>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</si>
  <si>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</si>
  <si>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</si>
  <si>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</si>
  <si>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</si>
  <si>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</si>
  <si>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</si>
  <si>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</si>
  <si>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</si>
  <si>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</si>
  <si>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</si>
  <si>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</si>
  <si>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</si>
  <si>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</si>
  <si>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</si>
  <si>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</si>
  <si>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</si>
  <si>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</si>
  <si>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</si>
  <si>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</si>
  <si>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</si>
  <si>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</si>
  <si>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</si>
  <si>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</si>
  <si>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</si>
  <si>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</si>
  <si>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</si>
  <si>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</si>
  <si>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</si>
  <si>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</si>
  <si>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</si>
  <si>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</si>
  <si>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</si>
  <si>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</si>
  <si>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</si>
  <si>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</si>
  <si>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</si>
  <si>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</si>
  <si>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</si>
  <si>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</si>
  <si>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</si>
  <si>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</si>
  <si>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</si>
  <si>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</si>
  <si>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</si>
  <si>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</si>
  <si>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</si>
  <si>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</si>
  <si>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</si>
  <si>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</si>
  <si>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</si>
  <si>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</si>
  <si>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</si>
  <si>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</si>
  <si>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</si>
  <si>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</si>
  <si>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</si>
  <si>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</si>
  <si>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</si>
  <si>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</si>
  <si>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</si>
  <si>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</si>
  <si>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</si>
  <si>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</si>
  <si>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</si>
  <si>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</si>
  <si>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</si>
  <si>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</si>
  <si>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</si>
  <si>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</si>
  <si>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</si>
  <si>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</si>
  <si>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</si>
  <si>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</si>
  <si>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</si>
  <si>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</si>
  <si>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</si>
  <si>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</si>
  <si>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</si>
  <si>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</si>
  <si>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</si>
  <si>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</si>
  <si>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</si>
  <si>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</si>
  <si>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</si>
  <si>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</si>
  <si>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</si>
  <si>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</si>
  <si>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</si>
  <si>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</si>
  <si>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</si>
  <si>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</si>
  <si>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</si>
  <si>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</si>
  <si>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</si>
  <si>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</si>
  <si>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</si>
  <si>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</si>
  <si>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</si>
  <si>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</si>
  <si>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</si>
  <si>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</si>
  <si>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</si>
  <si>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</si>
  <si>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</si>
  <si>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</si>
  <si>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</si>
  <si>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</si>
  <si>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</si>
  <si>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</si>
  <si>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</si>
  <si>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</si>
  <si>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</si>
  <si>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</si>
  <si>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</si>
  <si>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</si>
  <si>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</si>
  <si>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</si>
  <si>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</si>
  <si>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</si>
  <si>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</si>
  <si>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</si>
  <si>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</si>
  <si>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</si>
  <si>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</si>
  <si>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</si>
  <si>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</si>
  <si>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</si>
  <si>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</si>
  <si>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</si>
  <si>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</si>
  <si>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</si>
  <si>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</si>
  <si>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</si>
  <si>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</si>
  <si>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</si>
  <si>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</si>
  <si>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</si>
  <si>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</si>
  <si>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</si>
  <si>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</si>
  <si>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</si>
  <si>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</si>
  <si>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</si>
  <si>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</si>
  <si>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</si>
  <si>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</si>
  <si>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</si>
  <si>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</si>
  <si>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</si>
  <si>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</si>
  <si>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</si>
  <si>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</si>
  <si>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</si>
  <si>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</si>
  <si>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</si>
  <si>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</si>
  <si>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</si>
  <si>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</si>
  <si>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</si>
  <si>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</si>
  <si>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</si>
  <si>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</si>
  <si>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</si>
  <si>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</si>
  <si>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</si>
  <si>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</si>
  <si>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</si>
  <si>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</si>
  <si>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</si>
  <si>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</si>
  <si>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</si>
  <si>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</si>
  <si>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</si>
  <si>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</si>
  <si>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</si>
  <si>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</si>
  <si>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</si>
  <si>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</si>
  <si>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</si>
  <si>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</si>
  <si>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</si>
  <si>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</si>
  <si>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</si>
  <si>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</si>
  <si>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</si>
  <si>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</si>
  <si>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</si>
  <si>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</si>
  <si>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</si>
  <si>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</si>
  <si>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</si>
  <si>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</si>
  <si>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</si>
  <si>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</si>
  <si>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</si>
  <si>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</si>
  <si>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</si>
  <si>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</si>
  <si>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</si>
  <si>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</si>
  <si>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</si>
  <si>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</si>
  <si>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</si>
  <si>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</si>
  <si>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</si>
  <si>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</si>
  <si>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</si>
  <si>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</si>
  <si>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</si>
  <si>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</si>
  <si>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</si>
  <si>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</si>
  <si>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</si>
  <si>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</si>
  <si>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</si>
  <si>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</si>
  <si>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</si>
  <si>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</si>
  <si>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</si>
  <si>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</si>
  <si>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</si>
  <si>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</si>
  <si>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</si>
  <si>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</si>
  <si>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</si>
  <si>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</si>
  <si>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</si>
  <si>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</si>
  <si>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</si>
  <si>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</si>
  <si>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</si>
  <si>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</si>
  <si>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</si>
  <si>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</si>
  <si>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</si>
  <si>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</si>
  <si>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</si>
  <si>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</si>
  <si>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</si>
  <si>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</si>
  <si>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</si>
  <si>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</si>
  <si>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</si>
  <si>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</si>
  <si>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</si>
  <si>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</si>
  <si>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</si>
  <si>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</si>
  <si>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</si>
  <si>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</si>
  <si>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</si>
  <si>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</si>
  <si>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</si>
  <si>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</si>
  <si>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</si>
  <si>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</si>
  <si>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</si>
  <si>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</si>
  <si>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</si>
  <si>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</si>
  <si>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</si>
  <si>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</si>
  <si>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</si>
  <si>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</si>
  <si>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</si>
  <si>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</si>
  <si>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</si>
  <si>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</si>
  <si>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</si>
  <si>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</si>
  <si>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</si>
  <si>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</si>
  <si>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</si>
  <si>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</si>
  <si>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</si>
  <si>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</si>
  <si>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</si>
  <si>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</si>
  <si>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</si>
  <si>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</si>
  <si>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</si>
  <si>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</si>
  <si>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</si>
  <si>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</si>
  <si>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</si>
  <si>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</si>
  <si>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</si>
  <si>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</si>
  <si>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</si>
  <si>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</si>
  <si>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</si>
  <si>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</si>
  <si>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</si>
  <si>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</si>
  <si>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</si>
  <si>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</si>
  <si>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</si>
  <si>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</si>
  <si>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</si>
  <si>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</si>
  <si>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</si>
  <si>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</si>
  <si>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</si>
  <si>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</si>
  <si>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</si>
  <si>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</si>
  <si>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</si>
  <si>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</si>
  <si>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</si>
  <si>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</si>
  <si>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</si>
  <si>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</si>
  <si>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</si>
  <si>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</si>
  <si>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</si>
  <si>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</si>
  <si>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</si>
  <si>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</si>
  <si>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</si>
  <si>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</si>
  <si>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</si>
  <si>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</si>
  <si>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</si>
  <si>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</si>
  <si>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</si>
  <si>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</si>
  <si>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</si>
  <si>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</si>
  <si>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</si>
  <si>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</si>
  <si>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</si>
  <si>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</si>
  <si>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</si>
  <si>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</si>
  <si>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</si>
  <si>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</si>
  <si>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</si>
  <si>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</si>
  <si>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</si>
  <si>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</si>
  <si>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</si>
  <si>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</si>
  <si>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</si>
  <si>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</si>
  <si>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</si>
  <si>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</si>
  <si>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</si>
  <si>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</si>
  <si>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</si>
  <si>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</si>
  <si>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</si>
  <si>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</si>
  <si>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</si>
  <si>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</si>
  <si>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</si>
  <si>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</si>
  <si>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</si>
  <si>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</si>
  <si>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</si>
  <si>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</si>
  <si>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</si>
  <si>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</si>
  <si>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</si>
  <si>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</si>
  <si>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</si>
  <si>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</si>
  <si>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</si>
  <si>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</si>
  <si>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</si>
  <si>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</si>
  <si>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</si>
  <si>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</si>
  <si>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</si>
  <si>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</si>
  <si>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</si>
  <si>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</si>
  <si>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</si>
  <si>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</si>
  <si>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</si>
  <si>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</si>
  <si>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</si>
  <si>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</si>
  <si>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</si>
  <si>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</si>
  <si>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</si>
  <si>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</si>
  <si>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</si>
  <si>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</si>
  <si>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</si>
  <si>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</si>
  <si>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</si>
  <si>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</si>
  <si>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</si>
  <si>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</si>
  <si>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</si>
  <si>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</si>
  <si>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</si>
  <si>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</si>
  <si>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</si>
  <si>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</si>
  <si>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</si>
  <si>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</si>
  <si>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</si>
  <si>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</si>
  <si>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</si>
  <si>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</si>
  <si>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</si>
  <si>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</si>
  <si>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</si>
  <si>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</si>
  <si>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</si>
  <si>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</si>
  <si>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</si>
  <si>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</si>
  <si>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</si>
  <si>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</si>
  <si>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</si>
  <si>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</si>
  <si>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</si>
  <si>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</si>
  <si>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</si>
  <si>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</si>
  <si>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</si>
  <si>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</si>
  <si>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</si>
  <si>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</si>
  <si>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</si>
  <si>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</si>
  <si>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</si>
  <si>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</si>
  <si>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</si>
  <si>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</si>
  <si>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</si>
  <si>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</si>
  <si>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</si>
  <si>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</si>
  <si>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</si>
  <si>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</si>
  <si>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</si>
  <si>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</si>
  <si>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</si>
  <si>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</si>
  <si>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</si>
  <si>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</si>
  <si>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</si>
  <si>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</si>
  <si>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</si>
  <si>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</si>
  <si>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</si>
  <si>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</si>
  <si>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</si>
  <si>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</si>
  <si>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</si>
  <si>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</si>
  <si>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</si>
  <si>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</si>
  <si>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</si>
  <si>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</si>
  <si>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</si>
  <si>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</si>
  <si>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</si>
  <si>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</si>
  <si>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</si>
  <si>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</si>
  <si>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</si>
  <si>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</si>
  <si>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</si>
  <si>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</si>
  <si>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</si>
  <si>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</si>
  <si>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</si>
  <si>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</si>
  <si>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</si>
  <si>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</si>
  <si>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</si>
  <si>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</si>
  <si>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</si>
  <si>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</si>
  <si>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</si>
  <si>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</si>
  <si>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</si>
  <si>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</si>
  <si>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</si>
  <si>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</si>
  <si>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</si>
  <si>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</si>
  <si>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</si>
  <si>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</si>
  <si>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</si>
  <si>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</si>
  <si>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</si>
  <si>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</si>
  <si>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</si>
  <si>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</si>
  <si>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</si>
  <si>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</si>
  <si>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</si>
  <si>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</si>
  <si>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</si>
  <si>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</si>
  <si>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</si>
  <si>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</si>
  <si>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</si>
  <si>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</si>
  <si>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</si>
  <si>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</si>
  <si>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</si>
  <si>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</si>
  <si>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</si>
  <si>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</si>
  <si>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</si>
  <si>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</si>
  <si>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</si>
  <si>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</si>
  <si>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</si>
  <si>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</si>
  <si>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</si>
  <si>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</si>
  <si>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</si>
  <si>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</si>
  <si>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</si>
  <si>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</si>
  <si>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</si>
  <si>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</si>
  <si>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</si>
  <si>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</si>
  <si>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</si>
  <si>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</si>
  <si>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</si>
  <si>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</si>
  <si>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</si>
  <si>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</si>
  <si>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</si>
  <si>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</si>
  <si>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</si>
  <si>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</si>
  <si>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</si>
  <si>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</si>
  <si>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</si>
  <si>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</si>
  <si>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</si>
  <si>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</si>
  <si>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</si>
  <si>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</si>
  <si>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</si>
  <si>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</si>
  <si>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</si>
  <si>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</si>
  <si>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</si>
  <si>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</si>
  <si>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</si>
  <si>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</si>
  <si>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</si>
  <si>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</si>
  <si>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</si>
  <si>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</si>
  <si>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</si>
  <si>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</si>
  <si>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</si>
  <si>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</si>
  <si>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</si>
  <si>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</si>
  <si>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</si>
  <si>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</si>
  <si>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</si>
  <si>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</si>
  <si>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</si>
  <si>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</si>
  <si>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</si>
  <si>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</si>
  <si>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</si>
  <si>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</si>
  <si>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</si>
  <si>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</si>
  <si>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</si>
  <si>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</si>
  <si>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</si>
  <si>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</si>
  <si>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</si>
  <si>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</si>
  <si>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</si>
  <si>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</si>
  <si>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</si>
  <si>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</si>
  <si>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</si>
  <si>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</si>
  <si>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</si>
  <si>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</si>
  <si>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</si>
  <si>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</si>
  <si>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</si>
  <si>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</si>
  <si>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</si>
  <si>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</si>
  <si>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</si>
  <si>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</si>
  <si>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</si>
  <si>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</si>
  <si>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</si>
  <si>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</si>
  <si>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</si>
  <si>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</si>
  <si>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</si>
  <si>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</si>
  <si>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</si>
  <si>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</si>
  <si>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</si>
  <si>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</si>
  <si>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</si>
  <si>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</si>
  <si>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</si>
  <si>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</si>
  <si>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</si>
  <si>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</si>
  <si>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</si>
  <si>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</si>
  <si>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</si>
  <si>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</si>
  <si>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</si>
  <si>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</si>
  <si>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</si>
  <si>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</si>
  <si>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</si>
  <si>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</si>
  <si>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</si>
  <si>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</si>
  <si>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</si>
  <si>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</si>
  <si>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</si>
  <si>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</si>
  <si>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</si>
  <si>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</si>
  <si>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</si>
  <si>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</si>
  <si>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</si>
  <si>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</si>
  <si>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</si>
  <si>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</si>
  <si>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</si>
  <si>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</si>
  <si>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</si>
  <si>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</si>
  <si>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</si>
  <si>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</si>
  <si>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</si>
  <si>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</si>
  <si>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</si>
  <si>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</si>
  <si>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</si>
  <si>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</si>
  <si>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</si>
  <si>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</si>
  <si>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</si>
  <si>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</si>
  <si>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</si>
  <si>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</si>
  <si>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</si>
  <si>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</si>
  <si>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</si>
  <si>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</si>
  <si>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</si>
  <si>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</si>
  <si>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</si>
  <si>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</si>
  <si>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</si>
  <si>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</si>
  <si>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</si>
  <si>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</si>
  <si>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</si>
  <si>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</si>
  <si>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</si>
  <si>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</si>
  <si>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</si>
  <si>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</si>
  <si>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</si>
  <si>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</si>
  <si>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</si>
  <si>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</si>
  <si>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</si>
  <si>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</si>
  <si>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</si>
  <si>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</si>
  <si>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</si>
  <si>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</si>
  <si>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</si>
  <si>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</si>
  <si>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</si>
  <si>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</si>
  <si>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</si>
  <si>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</si>
  <si>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</si>
  <si>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</si>
  <si>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</si>
  <si>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</si>
  <si>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</si>
  <si>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</si>
  <si>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</si>
  <si>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</si>
  <si>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</si>
  <si>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</si>
  <si>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</si>
  <si>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</si>
  <si>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</si>
  <si>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</si>
  <si>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</si>
  <si>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</si>
  <si>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</si>
  <si>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</si>
  <si>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</si>
  <si>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</si>
  <si>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</si>
  <si>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</si>
  <si>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</si>
  <si>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</si>
  <si>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</si>
  <si>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</si>
  <si>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</si>
  <si>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</si>
  <si>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</si>
  <si>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</si>
  <si>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</si>
  <si>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</si>
  <si>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</si>
  <si>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</si>
  <si>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</si>
  <si>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</si>
  <si>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</si>
  <si>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</si>
  <si>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</si>
  <si>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</si>
  <si>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</si>
  <si>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</si>
  <si>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</si>
  <si>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</si>
  <si>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</si>
  <si>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</si>
  <si>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</si>
  <si>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</si>
  <si>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</si>
  <si>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</si>
  <si>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</si>
  <si>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</si>
  <si>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</si>
  <si>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</si>
  <si>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</si>
  <si>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</si>
  <si>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</si>
  <si>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</si>
  <si>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</si>
  <si>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</si>
  <si>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</si>
  <si>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</si>
  <si>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</si>
  <si>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</si>
  <si>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</si>
  <si>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</si>
  <si>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</si>
  <si>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</si>
  <si>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</si>
  <si>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</si>
  <si>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</si>
  <si>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</si>
  <si>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</si>
  <si>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</si>
  <si>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</si>
  <si>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</si>
  <si>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</si>
  <si>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</si>
  <si>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</si>
  <si>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</si>
  <si>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</si>
  <si>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</si>
  <si>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</si>
  <si>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</si>
  <si>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</si>
  <si>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</si>
  <si>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</si>
  <si>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</si>
  <si>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</si>
  <si>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</si>
  <si>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</si>
  <si>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</si>
  <si>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</si>
  <si>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</si>
  <si>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</si>
  <si>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</si>
  <si>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</si>
  <si>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</si>
  <si>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</si>
  <si>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</si>
  <si>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</si>
  <si>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</si>
  <si>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</si>
  <si>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</si>
  <si>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</si>
  <si>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</si>
  <si>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</si>
  <si>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</si>
  <si>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</si>
  <si>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</si>
  <si>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</si>
  <si>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</si>
  <si>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</si>
  <si>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</si>
  <si>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</si>
  <si>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</si>
  <si>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</si>
  <si>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</si>
  <si>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</si>
  <si>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</si>
  <si>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</si>
  <si>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</si>
  <si>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</si>
  <si>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</si>
  <si>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</si>
  <si>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</si>
  <si>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</si>
  <si>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</si>
  <si>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</si>
  <si>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</si>
  <si>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</si>
  <si>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</si>
  <si>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</si>
  <si>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</si>
  <si>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</si>
  <si>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</si>
  <si>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</si>
  <si>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</si>
  <si>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</si>
  <si>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</si>
  <si>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</si>
  <si>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</si>
  <si>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</si>
  <si>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</si>
  <si>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</si>
  <si>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</si>
  <si>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</si>
  <si>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</si>
  <si>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</si>
  <si>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</si>
  <si>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</si>
  <si>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</si>
  <si>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</si>
  <si>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</si>
  <si>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</si>
  <si>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</si>
  <si>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</si>
  <si>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</si>
  <si>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</si>
  <si>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</si>
  <si>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</si>
  <si>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</si>
  <si>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</si>
  <si>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</si>
  <si>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</si>
  <si>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</si>
  <si>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</si>
  <si>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</si>
  <si>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</si>
  <si>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</si>
  <si>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</si>
  <si>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</si>
  <si>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</si>
  <si>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</si>
  <si>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</si>
  <si>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</si>
  <si>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</si>
  <si>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</si>
  <si>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</si>
  <si>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</si>
  <si>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</si>
  <si>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</si>
  <si>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</si>
  <si>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</si>
  <si>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</si>
  <si>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</si>
  <si>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</si>
  <si>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</si>
  <si>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</si>
  <si>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</si>
  <si>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</si>
  <si>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</si>
  <si>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</si>
  <si>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</si>
  <si>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</si>
  <si>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</si>
  <si>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</si>
  <si>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</si>
  <si>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</si>
  <si>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</si>
  <si>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</si>
  <si>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</si>
  <si>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</si>
  <si>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</si>
  <si>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</si>
  <si>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</si>
  <si>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</si>
  <si>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</si>
  <si>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</si>
  <si>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</si>
  <si>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</si>
  <si>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</si>
  <si>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</si>
  <si>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</si>
  <si>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</si>
  <si>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</si>
  <si>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</si>
  <si>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</si>
  <si>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</si>
  <si>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</si>
  <si>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</si>
  <si>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</si>
  <si>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</si>
  <si>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</si>
  <si>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</si>
  <si>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</si>
  <si>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</si>
  <si>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</si>
  <si>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</si>
  <si>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</si>
  <si>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</si>
  <si>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</si>
  <si>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</si>
  <si>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</si>
  <si>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</si>
  <si>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</si>
  <si>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</si>
  <si>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</si>
  <si>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</si>
  <si>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</si>
  <si>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</si>
  <si>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</si>
  <si>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</si>
  <si>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</si>
  <si>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</si>
  <si>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</si>
  <si>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</si>
  <si>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</si>
  <si>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</si>
  <si>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</si>
  <si>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</si>
  <si>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</si>
  <si>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</si>
  <si>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</si>
  <si>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</si>
  <si>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</si>
  <si>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</si>
  <si>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</si>
  <si>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</si>
  <si>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</si>
  <si>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</si>
  <si>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</si>
  <si>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</si>
  <si>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</si>
  <si>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</si>
  <si>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</si>
  <si>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</si>
  <si>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</si>
  <si>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</si>
  <si>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</si>
  <si>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</si>
  <si>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</si>
  <si>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</si>
  <si>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</si>
  <si>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</si>
  <si>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</si>
  <si>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</si>
  <si>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</si>
  <si>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</si>
  <si>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</si>
  <si>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</si>
  <si>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</si>
  <si>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</si>
  <si>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</si>
  <si>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</si>
  <si>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</si>
  <si>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</si>
  <si>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</si>
  <si>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</si>
  <si>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</si>
  <si>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</si>
  <si>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</si>
  <si>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</si>
  <si>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</si>
  <si>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</si>
  <si>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</si>
  <si>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</si>
  <si>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</si>
  <si>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</si>
  <si>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</si>
  <si>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</si>
  <si>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</si>
  <si>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</si>
  <si>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</si>
  <si>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</si>
  <si>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</si>
  <si>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</si>
  <si>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</si>
  <si>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</si>
  <si>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</si>
  <si>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</si>
  <si>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</si>
  <si>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</si>
  <si>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</si>
  <si>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</si>
  <si>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</si>
  <si>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</si>
  <si>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</si>
  <si>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</si>
  <si>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</si>
  <si>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</si>
  <si>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</si>
  <si>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</si>
  <si>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</si>
  <si>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</si>
  <si>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</si>
  <si>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</si>
  <si>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</si>
  <si>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</si>
  <si>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</si>
  <si>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</si>
  <si>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</si>
  <si>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</si>
  <si>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</si>
  <si>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</si>
  <si>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</si>
  <si>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</si>
  <si>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</si>
  <si>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</si>
  <si>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</si>
  <si>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</si>
  <si>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</si>
  <si>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</si>
  <si>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</si>
  <si>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</si>
  <si>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</si>
  <si>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</si>
  <si>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</si>
  <si>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</si>
  <si>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</si>
  <si>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</si>
  <si>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</si>
  <si>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</si>
  <si>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</si>
  <si>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</si>
  <si>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</si>
  <si>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</si>
  <si>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</si>
  <si>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</si>
  <si>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</si>
  <si>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</si>
  <si>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</si>
  <si>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</si>
  <si>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</si>
  <si>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</si>
  <si>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</si>
  <si>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</si>
  <si>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</si>
  <si>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</si>
  <si>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</si>
  <si>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</si>
  <si>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</si>
  <si>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</si>
  <si>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</si>
  <si>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</si>
  <si>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</si>
  <si>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</si>
  <si>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</si>
  <si>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</si>
  <si>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</si>
  <si>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</si>
  <si>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</si>
  <si>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</si>
  <si>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</si>
  <si>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</si>
  <si>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</si>
  <si>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</si>
  <si>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</si>
  <si>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</si>
  <si>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</si>
  <si>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</si>
  <si>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</si>
  <si>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</si>
  <si>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</si>
  <si>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</si>
  <si>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</si>
  <si>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</si>
  <si>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</si>
  <si>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</si>
  <si>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</si>
  <si>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</si>
  <si>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</si>
  <si>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</si>
  <si>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</si>
  <si>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</si>
  <si>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</si>
  <si>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</si>
  <si>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</si>
  <si>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</si>
  <si>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</si>
  <si>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</si>
  <si>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</si>
  <si>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</si>
  <si>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</si>
  <si>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</si>
  <si>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</si>
  <si>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</si>
  <si>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</si>
  <si>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</si>
  <si>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</si>
  <si>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</si>
  <si>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</si>
  <si>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</si>
  <si>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</si>
  <si>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</si>
  <si>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</si>
  <si>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</si>
  <si>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</si>
  <si>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</si>
  <si>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</si>
  <si>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</si>
  <si>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</si>
  <si>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</si>
  <si>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</si>
  <si>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</si>
  <si>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</si>
  <si>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</si>
  <si>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</si>
  <si>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</si>
  <si>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</si>
  <si>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</si>
  <si>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</si>
  <si>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</si>
  <si>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</si>
  <si>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</si>
  <si>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</si>
  <si>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</si>
  <si>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</si>
  <si>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</si>
  <si>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</si>
  <si>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</si>
  <si>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</si>
  <si>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</si>
  <si>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</si>
  <si>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</si>
  <si>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</si>
  <si>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</si>
  <si>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</si>
  <si>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</si>
  <si>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</si>
  <si>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</si>
  <si>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</si>
  <si>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</si>
  <si>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</si>
  <si>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</si>
  <si>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</si>
  <si>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</si>
  <si>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</si>
  <si>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</si>
  <si>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</si>
  <si>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</si>
  <si>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</si>
  <si>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</si>
  <si>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</si>
  <si>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</si>
  <si>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</si>
  <si>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</si>
  <si>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</si>
  <si>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</si>
  <si>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</si>
  <si>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</si>
  <si>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</si>
  <si>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</si>
  <si>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</si>
  <si>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</si>
  <si>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</si>
  <si>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</si>
  <si>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</si>
  <si>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</si>
  <si>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</si>
  <si>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</si>
  <si>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</si>
  <si>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</si>
  <si>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</si>
  <si>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</si>
  <si>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</si>
  <si>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</si>
  <si>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</si>
  <si>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</si>
  <si>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</si>
  <si>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</si>
  <si>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</si>
  <si>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</si>
  <si>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</si>
  <si>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</si>
  <si>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</si>
  <si>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</si>
  <si>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</si>
  <si>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</si>
  <si>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</si>
  <si>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</si>
  <si>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</si>
  <si>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</si>
  <si>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</si>
  <si>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</si>
  <si>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</si>
  <si>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</si>
  <si>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</si>
  <si>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</si>
  <si>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</si>
  <si>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</si>
  <si>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</si>
  <si>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</si>
  <si>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</si>
  <si>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</si>
  <si>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</si>
  <si>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</si>
  <si>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</si>
  <si>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</si>
  <si>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</si>
  <si>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</si>
  <si>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</si>
  <si>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</si>
  <si>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</si>
  <si>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</si>
  <si>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</si>
  <si>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</si>
  <si>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</si>
  <si>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</si>
  <si>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</si>
  <si>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</si>
  <si>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</si>
  <si>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</si>
  <si>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</si>
  <si>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</si>
  <si>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</si>
  <si>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</si>
  <si>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</si>
  <si>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</si>
  <si>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</si>
  <si>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</si>
  <si>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</si>
  <si>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</si>
  <si>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</si>
  <si>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</si>
  <si>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</si>
  <si>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</si>
  <si>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</si>
  <si>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</si>
  <si>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</si>
  <si>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</si>
  <si>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</si>
  <si>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</si>
  <si>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</si>
  <si>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</si>
  <si>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</si>
  <si>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</si>
  <si>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</si>
  <si>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</si>
  <si>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</si>
  <si>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</si>
  <si>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</si>
  <si>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</si>
  <si>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</si>
  <si>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</si>
  <si>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</si>
  <si>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</si>
  <si>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</si>
  <si>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</si>
  <si>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</si>
  <si>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</si>
  <si>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</si>
  <si>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</si>
  <si>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</si>
  <si>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</si>
  <si>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</si>
  <si>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</si>
  <si>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</si>
  <si>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</si>
  <si>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</si>
  <si>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</si>
  <si>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</si>
  <si>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</si>
  <si>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</si>
  <si>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</si>
  <si>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</si>
  <si>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</si>
  <si>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</si>
  <si>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</si>
  <si>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</si>
  <si>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</si>
  <si>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</si>
  <si>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</si>
  <si>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</si>
  <si>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</si>
  <si>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</si>
  <si>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</si>
  <si>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</si>
  <si>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</si>
  <si>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</si>
  <si>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</si>
  <si>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</si>
  <si>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</si>
  <si>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</si>
  <si>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</si>
  <si>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</si>
  <si>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</si>
  <si>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</si>
  <si>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</si>
  <si>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</si>
  <si>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</si>
  <si>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</si>
  <si>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</si>
  <si>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</si>
  <si>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</si>
  <si>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</si>
  <si>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</si>
  <si>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</si>
  <si>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</si>
  <si>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</si>
  <si>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</si>
  <si>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</si>
  <si>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</si>
  <si>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</si>
  <si>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</si>
  <si>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</si>
  <si>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</si>
  <si>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</si>
  <si>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</si>
  <si>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</si>
  <si>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</si>
  <si>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</si>
  <si>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</si>
  <si>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</si>
  <si>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</si>
  <si>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</si>
  <si>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</si>
  <si>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</si>
  <si>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</si>
  <si>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</si>
  <si>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</si>
  <si>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</si>
  <si>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</si>
  <si>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</si>
  <si>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</si>
  <si>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</si>
  <si>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</si>
  <si>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</si>
  <si>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</si>
  <si>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</si>
  <si>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</si>
  <si>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</si>
  <si>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</si>
  <si>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</si>
  <si>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</si>
  <si>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</si>
  <si>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</si>
  <si>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</si>
  <si>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</si>
  <si>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</si>
  <si>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</si>
  <si>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</si>
  <si>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</si>
  <si>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</si>
  <si>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</si>
  <si>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</si>
  <si>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</si>
  <si>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</si>
  <si>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</si>
  <si>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</si>
  <si>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</si>
  <si>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</si>
  <si>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</si>
  <si>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</si>
  <si>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</si>
  <si>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</si>
  <si>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</si>
  <si>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</si>
  <si>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</si>
  <si>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</si>
  <si>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</si>
  <si>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</si>
  <si>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</si>
  <si>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</si>
  <si>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</si>
  <si>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</si>
  <si>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</si>
  <si>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</si>
  <si>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</si>
  <si>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</si>
  <si>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</si>
  <si>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</si>
  <si>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</si>
  <si>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</si>
  <si>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</si>
  <si>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</si>
  <si>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</si>
  <si>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</si>
  <si>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</si>
  <si>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</si>
  <si>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</si>
  <si>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</si>
  <si>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</si>
  <si>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</si>
  <si>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</si>
  <si>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</si>
  <si>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</si>
  <si>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</si>
  <si>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</si>
  <si>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</si>
  <si>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</si>
  <si>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</si>
  <si>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</si>
  <si>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</si>
  <si>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</si>
  <si>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</si>
  <si>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</si>
  <si>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</si>
  <si>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</si>
  <si>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</si>
  <si>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</si>
  <si>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</si>
  <si>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</si>
  <si>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</si>
  <si>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</si>
  <si>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</si>
  <si>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</si>
  <si>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</si>
  <si>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</si>
  <si>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</si>
  <si>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</si>
  <si>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</si>
  <si>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</si>
  <si>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</si>
  <si>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</si>
  <si>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</si>
  <si>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</si>
  <si>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</si>
  <si>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</si>
  <si>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</si>
  <si>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</si>
  <si>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</si>
  <si>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</si>
  <si>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</si>
  <si>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</si>
  <si>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</si>
  <si>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</si>
  <si>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</si>
  <si>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</si>
  <si>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</si>
  <si>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</si>
  <si>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</si>
  <si>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</si>
  <si>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</si>
  <si>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</si>
  <si>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</si>
  <si>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</si>
  <si>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</si>
  <si>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</si>
  <si>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</si>
  <si>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</si>
  <si>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</si>
  <si>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</si>
  <si>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</si>
  <si>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</si>
  <si>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</si>
  <si>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</si>
  <si>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</si>
  <si>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</si>
  <si>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</si>
  <si>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</si>
  <si>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</si>
  <si>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</si>
  <si>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</si>
  <si>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</si>
  <si>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</si>
  <si>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</si>
  <si>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</si>
  <si>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</si>
  <si>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</si>
  <si>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</si>
  <si>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</si>
  <si>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</si>
  <si>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</si>
  <si>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</si>
  <si>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</si>
  <si>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</si>
  <si>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</si>
  <si>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</si>
  <si>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</si>
  <si>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</si>
  <si>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</si>
  <si>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</si>
  <si>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</si>
  <si>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</si>
  <si>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</si>
  <si>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</si>
  <si>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</si>
  <si>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</si>
  <si>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</si>
  <si>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</si>
  <si>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</si>
  <si>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</si>
  <si>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</si>
  <si>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</si>
  <si>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</si>
  <si>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</si>
  <si>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</si>
  <si>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</si>
  <si>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</si>
  <si>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</si>
  <si>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</si>
  <si>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</si>
  <si>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</si>
  <si>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</si>
  <si>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</si>
  <si>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</si>
  <si>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</si>
  <si>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</si>
  <si>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</si>
  <si>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</si>
  <si>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</si>
  <si>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</si>
  <si>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</si>
  <si>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</si>
  <si>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</si>
  <si>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</si>
  <si>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</si>
  <si>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</si>
  <si>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</si>
  <si>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</si>
  <si>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</si>
  <si>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</si>
  <si>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</si>
  <si>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</si>
  <si>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</si>
  <si>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</si>
  <si>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</si>
  <si>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</si>
  <si>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</si>
  <si>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</si>
  <si>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</si>
  <si>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</si>
  <si>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</si>
  <si>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</si>
  <si>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</si>
  <si>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</si>
  <si>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</si>
  <si>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</si>
  <si>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</si>
  <si>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</si>
  <si>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</si>
  <si>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</si>
  <si>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</si>
  <si>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</si>
  <si>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</si>
  <si>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</si>
  <si>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</si>
  <si>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</si>
  <si>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</si>
  <si>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</si>
  <si>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</si>
  <si>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</si>
  <si>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</si>
  <si>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</si>
  <si>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</si>
  <si>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</si>
  <si>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</si>
  <si>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</si>
  <si>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</si>
  <si>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</si>
  <si>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</si>
  <si>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</si>
  <si>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</si>
  <si>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</si>
  <si>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</si>
  <si>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</si>
  <si>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</si>
  <si>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</si>
  <si>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</si>
  <si>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</si>
  <si>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</si>
  <si>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</si>
  <si>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</si>
  <si>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</si>
  <si>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</si>
  <si>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</si>
  <si>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</si>
  <si>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</si>
  <si>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</si>
  <si>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</si>
  <si>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</si>
  <si>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</si>
  <si>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</si>
  <si>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</si>
  <si>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</si>
  <si>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</si>
  <si>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</si>
  <si>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</si>
  <si>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</si>
  <si>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</si>
  <si>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</si>
  <si>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</si>
  <si>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</si>
  <si>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</si>
  <si>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</si>
  <si>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</si>
  <si>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</si>
  <si>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</si>
  <si>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</si>
  <si>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</si>
  <si>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</si>
  <si>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</si>
  <si>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</si>
  <si>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</si>
  <si>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</si>
  <si>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</si>
  <si>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</si>
  <si>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</si>
  <si>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</si>
  <si>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</si>
  <si>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</si>
  <si>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</si>
  <si>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</si>
  <si>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</si>
  <si>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</si>
  <si>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</si>
  <si>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</si>
  <si>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</si>
  <si>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</si>
  <si>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</si>
  <si>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</si>
  <si>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</si>
  <si>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</si>
  <si>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</si>
  <si>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</si>
  <si>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</si>
  <si>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</si>
  <si>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</si>
  <si>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</si>
  <si>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</si>
  <si>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</si>
  <si>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</si>
  <si>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</si>
  <si>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</si>
  <si>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</si>
  <si>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</si>
  <si>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</si>
  <si>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</si>
  <si>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</si>
  <si>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</si>
  <si>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</si>
  <si>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</si>
  <si>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</si>
  <si>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</si>
  <si>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</si>
  <si>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</si>
  <si>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</si>
  <si>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</si>
  <si>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</si>
  <si>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</si>
  <si>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</si>
  <si>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</si>
  <si>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</si>
  <si>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</si>
  <si>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</si>
  <si>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</si>
  <si>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</si>
  <si>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</si>
  <si>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</si>
  <si>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</si>
  <si>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</si>
  <si>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</si>
  <si>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</si>
  <si>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</si>
  <si>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</si>
  <si>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</si>
  <si>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</si>
  <si>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</si>
  <si>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</si>
  <si>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</si>
  <si>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</si>
  <si>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</si>
  <si>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</si>
  <si>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</si>
  <si>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</si>
  <si>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</si>
  <si>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</si>
  <si>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</si>
  <si>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</si>
  <si>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</si>
  <si>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</si>
  <si>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</si>
  <si>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</si>
  <si>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</si>
  <si>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</si>
  <si>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</si>
  <si>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</si>
  <si>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</si>
  <si>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</si>
  <si>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</si>
  <si>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</si>
  <si>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</si>
  <si>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</si>
  <si>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</si>
  <si>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</si>
  <si>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</si>
  <si>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</si>
  <si>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</si>
  <si>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</si>
  <si>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</si>
  <si>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</si>
  <si>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</si>
  <si>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</si>
  <si>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</si>
  <si>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</si>
  <si>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</si>
  <si>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</si>
  <si>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</si>
  <si>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</si>
  <si>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</si>
  <si>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</si>
  <si>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</si>
  <si>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</si>
  <si>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</si>
  <si>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</si>
  <si>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</si>
  <si>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</si>
  <si>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</si>
  <si>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</si>
  <si>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</si>
  <si>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</si>
  <si>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</si>
  <si>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</si>
  <si>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</si>
  <si>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</si>
  <si>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</si>
  <si>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</si>
  <si>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</si>
  <si>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</si>
  <si>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</si>
  <si>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</si>
  <si>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</si>
  <si>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</si>
  <si>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</si>
  <si>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</si>
  <si>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</si>
  <si>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</si>
  <si>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</si>
  <si>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</si>
  <si>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</si>
  <si>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</si>
  <si>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</si>
  <si>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</si>
  <si>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</si>
  <si>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</si>
  <si>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</si>
  <si>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</si>
  <si>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</si>
  <si>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</si>
  <si>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</si>
  <si>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</si>
  <si>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</si>
  <si>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</si>
  <si>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</si>
  <si>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</si>
  <si>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</si>
  <si>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</si>
  <si>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</si>
  <si>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</si>
  <si>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</si>
  <si>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</si>
  <si>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</si>
  <si>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</si>
  <si>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</si>
  <si>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</si>
  <si>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</si>
  <si>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</si>
  <si>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</si>
  <si>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</si>
  <si>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</si>
  <si>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</si>
  <si>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</si>
  <si>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</si>
  <si>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</si>
  <si>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</si>
  <si>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</si>
  <si>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</si>
  <si>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</si>
  <si>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</si>
  <si>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</si>
  <si>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</si>
  <si>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</si>
  <si>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</si>
  <si>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</si>
  <si>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</si>
  <si>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</si>
  <si>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</si>
  <si>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</si>
  <si>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</si>
  <si>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</si>
  <si>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</si>
  <si>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</si>
  <si>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</si>
  <si>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</si>
  <si>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</si>
  <si>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</si>
  <si>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</si>
  <si>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</si>
  <si>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</si>
  <si>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</si>
  <si>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</si>
  <si>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</si>
  <si>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</si>
  <si>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</si>
  <si>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</si>
  <si>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</si>
  <si>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</si>
  <si>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</si>
  <si>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</si>
  <si>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</si>
  <si>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</si>
  <si>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</si>
  <si>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</si>
  <si>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</si>
  <si>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</si>
  <si>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</si>
  <si>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</si>
  <si>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</si>
  <si>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</si>
  <si>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</si>
  <si>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</si>
  <si>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</si>
  <si>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</si>
  <si>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</si>
  <si>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</si>
  <si>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</si>
  <si>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</si>
  <si>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</si>
  <si>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</si>
  <si>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</si>
  <si>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</si>
  <si>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</si>
  <si>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</si>
  <si>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</si>
  <si>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</si>
  <si>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</si>
  <si>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</si>
  <si>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</si>
  <si>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</si>
  <si>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</si>
  <si>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</si>
  <si>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</si>
  <si>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</si>
  <si>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</si>
  <si>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</si>
  <si>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</si>
  <si>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</si>
  <si>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</si>
  <si>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</si>
  <si>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</si>
  <si>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</si>
  <si>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</si>
  <si>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</si>
  <si>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</si>
  <si>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</si>
  <si>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</si>
  <si>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</si>
  <si>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</si>
  <si>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</si>
  <si>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</si>
  <si>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</si>
  <si>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</si>
  <si>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</si>
  <si>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</si>
  <si>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</si>
  <si>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</si>
  <si>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</si>
  <si>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</si>
  <si>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</si>
  <si>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</si>
  <si>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</si>
  <si>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</si>
  <si>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</si>
  <si>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</si>
  <si>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</si>
  <si>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</si>
  <si>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</si>
  <si>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</si>
  <si>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</si>
  <si>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</si>
  <si>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</si>
  <si>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</si>
  <si>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</si>
  <si>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</si>
  <si>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</si>
  <si>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</si>
  <si>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</si>
  <si>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</si>
  <si>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</si>
  <si>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</si>
  <si>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</si>
  <si>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</si>
  <si>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</si>
  <si>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</si>
  <si>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</si>
  <si>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</si>
  <si>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</si>
  <si>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</si>
  <si>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</si>
  <si>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</si>
  <si>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</si>
  <si>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</si>
  <si>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</si>
  <si>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</si>
  <si>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</si>
  <si>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</si>
  <si>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</si>
  <si>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</si>
  <si>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</si>
  <si>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</si>
  <si>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</si>
  <si>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</si>
  <si>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</si>
  <si>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</si>
  <si>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</si>
  <si>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</si>
  <si>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</si>
  <si>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</si>
  <si>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</si>
  <si>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</si>
  <si>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</si>
  <si>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</si>
  <si>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</si>
  <si>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</si>
  <si>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</si>
  <si>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</si>
  <si>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</si>
  <si>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</si>
  <si>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</si>
  <si>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</si>
  <si>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</si>
  <si>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</si>
  <si>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</si>
  <si>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</si>
  <si>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</si>
  <si>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</si>
  <si>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</si>
  <si>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</si>
  <si>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</si>
  <si>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</si>
  <si>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</si>
  <si>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</si>
  <si>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</si>
  <si>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</si>
  <si>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</si>
  <si>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</si>
  <si>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</si>
  <si>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</si>
  <si>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</si>
  <si>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</si>
  <si>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</si>
  <si>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</si>
  <si>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</si>
  <si>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</si>
  <si>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</si>
  <si>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</si>
  <si>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</si>
  <si>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</si>
  <si>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</si>
  <si>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</si>
  <si>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</si>
  <si>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</si>
  <si>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</si>
  <si>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</si>
  <si>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</si>
  <si>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</si>
  <si>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</si>
  <si>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</si>
  <si>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</si>
  <si>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</si>
  <si>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</si>
  <si>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</si>
  <si>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</si>
  <si>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</si>
  <si>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</si>
  <si>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</si>
  <si>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</si>
  <si>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</si>
  <si>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</si>
  <si>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</si>
  <si>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</si>
  <si>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</si>
  <si>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</si>
  <si>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</si>
  <si>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</si>
  <si>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</si>
  <si>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</si>
  <si>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</si>
  <si>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</si>
  <si>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</si>
  <si>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</si>
  <si>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</si>
  <si>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</si>
  <si>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</si>
  <si>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</si>
  <si>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</si>
  <si>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</si>
  <si>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</si>
  <si>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</si>
  <si>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</si>
  <si>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</si>
  <si>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</si>
  <si>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</si>
  <si>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</si>
  <si>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</si>
  <si>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</si>
  <si>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</si>
  <si>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</si>
  <si>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</si>
  <si>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</si>
  <si>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</si>
  <si>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</si>
  <si>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</si>
  <si>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</si>
  <si>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</si>
  <si>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</si>
  <si>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</si>
  <si>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</si>
  <si>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</si>
  <si>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</si>
  <si>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</si>
  <si>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</si>
  <si>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</si>
  <si>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</si>
  <si>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</si>
  <si>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</si>
  <si>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</si>
  <si>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</si>
  <si>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</si>
  <si>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</si>
  <si>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</si>
  <si>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</si>
  <si>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</si>
  <si>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</si>
  <si>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</si>
  <si>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</si>
  <si>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</si>
  <si>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</si>
  <si>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</si>
  <si>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</si>
  <si>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</si>
  <si>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</si>
  <si>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</si>
  <si>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</si>
  <si>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</si>
  <si>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</si>
  <si>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</si>
  <si>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</si>
  <si>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</si>
  <si>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</si>
  <si>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</si>
  <si>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</si>
  <si>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</si>
  <si>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</si>
  <si>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</si>
  <si>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</si>
  <si>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</si>
  <si>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</si>
  <si>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</si>
  <si>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</si>
  <si>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</si>
  <si>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</si>
  <si>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</si>
  <si>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</si>
  <si>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</si>
  <si>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</si>
  <si>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</si>
  <si>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</si>
  <si>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</si>
  <si>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</si>
  <si>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</si>
  <si>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</si>
  <si>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</si>
  <si>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</si>
  <si>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</si>
  <si>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</si>
  <si>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</si>
  <si>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</si>
  <si>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</si>
  <si>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</si>
  <si>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</si>
  <si>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</si>
  <si>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</si>
  <si>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</si>
  <si>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</si>
  <si>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</si>
  <si>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</si>
  <si>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</si>
  <si>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</si>
  <si>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</si>
  <si>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</si>
  <si>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</si>
  <si>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</si>
  <si>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</si>
  <si>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</si>
  <si>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</si>
  <si>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</si>
  <si>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</si>
  <si>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</si>
  <si>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</si>
  <si>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</si>
  <si>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</si>
  <si>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</si>
  <si>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</si>
  <si>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</si>
  <si>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</si>
  <si>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</si>
  <si>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</si>
  <si>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</si>
  <si>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</si>
  <si>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</si>
  <si>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</si>
  <si>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</si>
  <si>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</si>
  <si>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</si>
  <si>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</si>
  <si>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</si>
  <si>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</si>
  <si>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</si>
  <si>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</si>
  <si>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</si>
  <si>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</si>
  <si>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</si>
  <si>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</si>
  <si>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</si>
  <si>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</si>
  <si>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</si>
  <si>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</si>
  <si>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</si>
  <si>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</si>
  <si>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</si>
  <si>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</si>
  <si>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</si>
  <si>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</si>
  <si>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</si>
  <si>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</si>
  <si>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</si>
  <si>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</si>
  <si>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</si>
  <si>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</si>
  <si>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</si>
  <si>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</si>
  <si>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</si>
  <si>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</si>
  <si>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</si>
  <si>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</si>
  <si>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</si>
  <si>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</si>
  <si>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</si>
  <si>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</si>
  <si>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</si>
  <si>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</si>
  <si>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</si>
  <si>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</si>
  <si>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</si>
  <si>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</si>
  <si>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</si>
  <si>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</si>
  <si>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</si>
  <si>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</si>
  <si>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</si>
  <si>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</si>
  <si>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</si>
  <si>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</si>
  <si>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</si>
  <si>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</si>
  <si>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</si>
  <si>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</si>
  <si>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</si>
  <si>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</si>
  <si>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</si>
  <si>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</si>
  <si>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</si>
  <si>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</si>
  <si>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</si>
  <si>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</si>
  <si>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</si>
  <si>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</si>
  <si>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</si>
  <si>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</si>
  <si>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</si>
  <si>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</si>
  <si>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</si>
  <si>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</si>
  <si>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</si>
  <si>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</si>
  <si>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</si>
  <si>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</si>
  <si>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</si>
  <si>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</si>
  <si>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</si>
  <si>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</si>
  <si>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</si>
  <si>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</si>
  <si>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</si>
  <si>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</si>
  <si>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</si>
  <si>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</si>
  <si>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</si>
  <si>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</si>
  <si>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</si>
  <si>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</si>
  <si>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</si>
  <si>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</si>
  <si>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</si>
  <si>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</si>
  <si>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</si>
  <si>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</si>
  <si>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</si>
  <si>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</si>
  <si>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</si>
  <si>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</si>
  <si>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</si>
  <si>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</si>
  <si>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</si>
  <si>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</si>
  <si>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</si>
  <si>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</si>
  <si>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</si>
  <si>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</si>
  <si>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</si>
  <si>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</si>
  <si>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</si>
  <si>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</si>
  <si>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</si>
  <si>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</si>
  <si>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</si>
  <si>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</si>
  <si>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</si>
  <si>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</si>
  <si>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</si>
  <si>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</si>
  <si>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</si>
  <si>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</si>
  <si>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</si>
  <si>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</si>
  <si>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</si>
  <si>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</si>
  <si>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</si>
  <si>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</si>
  <si>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</si>
  <si>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</si>
  <si>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</si>
  <si>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</si>
  <si>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</si>
  <si>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</si>
  <si>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</si>
  <si>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</si>
  <si>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</si>
  <si>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</si>
  <si>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</si>
  <si>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</si>
  <si>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</si>
  <si>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</si>
  <si>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</si>
  <si>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</si>
  <si>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</si>
  <si>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</si>
  <si>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</si>
  <si>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</si>
  <si>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</si>
  <si>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</si>
  <si>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</si>
  <si>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</si>
  <si>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</si>
  <si>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</si>
  <si>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</si>
  <si>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</si>
  <si>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</si>
  <si>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</si>
  <si>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</si>
  <si>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</si>
  <si>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</si>
  <si>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</si>
  <si>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</si>
  <si>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</si>
  <si>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</si>
  <si>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</si>
  <si>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</si>
  <si>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</si>
  <si>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</si>
  <si>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</si>
  <si>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</si>
  <si>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</si>
  <si>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</si>
  <si>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</si>
  <si>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</si>
  <si>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</si>
  <si>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</si>
  <si>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</si>
  <si>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</si>
  <si>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</si>
  <si>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</si>
  <si>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</si>
  <si>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</si>
  <si>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</si>
  <si>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</si>
  <si>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</si>
  <si>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</si>
  <si>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</si>
  <si>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</si>
  <si>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</si>
  <si>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</si>
  <si>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</si>
  <si>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</si>
  <si>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</si>
  <si>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</si>
  <si>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</si>
  <si>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</si>
  <si>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</si>
  <si>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</si>
  <si>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</si>
  <si>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</si>
  <si>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</si>
  <si>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</si>
  <si>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</si>
  <si>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</si>
  <si>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</si>
  <si>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</si>
  <si>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</si>
  <si>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</si>
  <si>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</si>
  <si>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</si>
  <si>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</si>
  <si>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</si>
  <si>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</si>
  <si>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</si>
  <si>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</si>
  <si>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</si>
  <si>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</si>
  <si>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</si>
  <si>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</si>
  <si>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</si>
  <si>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</si>
  <si>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</si>
  <si>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</si>
  <si>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</si>
  <si>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</si>
  <si>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</si>
  <si>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</si>
  <si>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</si>
  <si>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</si>
  <si>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</si>
  <si>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</si>
  <si>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MSFI</t>
  </si>
  <si>
    <t>71799539000</t>
  </si>
  <si>
    <t>06374155285</t>
  </si>
  <si>
    <t>02013720</t>
  </si>
  <si>
    <t>040224587</t>
  </si>
  <si>
    <t>MON PERIN D.D.</t>
  </si>
  <si>
    <t>BALE</t>
  </si>
  <si>
    <t>TRG LA MUSA 2</t>
  </si>
  <si>
    <t>massimo.piutti@monperin.hr</t>
  </si>
  <si>
    <t>052/824-075</t>
  </si>
  <si>
    <t>www.monperin.hr</t>
  </si>
  <si>
    <t>04280237</t>
  </si>
  <si>
    <t>M.I. RAČUNOVOĐA D.O.O.</t>
  </si>
  <si>
    <t>Ivana Mikulek</t>
  </si>
  <si>
    <t>052824186</t>
  </si>
  <si>
    <t>ivana.mikulek@mi-racunovoda.hr</t>
  </si>
  <si>
    <t>Piutti Massimo</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</si>
</sst>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2"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6"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32"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7" xfId="0" applyFont="1" applyFill="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49" fontId="13" fillId="33" borderId="57" xfId="0" applyNumberFormat="1" applyFont="1" applyFill="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2" fillId="0" borderId="5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0" xfId="0" applyFont="1" applyBorder="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7" fillId="0" borderId="60" xfId="0" applyFont="1" applyBorder="1" applyAlignment="1">
      <alignment vertical="center"/>
    </xf>
    <xf numFmtId="0" fontId="7" fillId="0" borderId="0" xfId="0" applyFont="1" applyBorder="1" applyAlignment="1" applyProtection="1">
      <alignment horizontal="left" vertical="center"/>
      <protection hidden="1"/>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14" fillId="0" borderId="16" xfId="0" applyFont="1" applyBorder="1" applyAlignment="1">
      <alignment vertical="center"/>
    </xf>
    <xf numFmtId="0" fontId="0" fillId="0" borderId="16" xfId="0" applyBorder="1" applyAlignment="1">
      <alignment vertical="center"/>
    </xf>
    <xf numFmtId="0" fontId="13" fillId="33" borderId="57" xfId="0" applyFont="1" applyFill="1" applyBorder="1" applyAlignment="1" applyProtection="1">
      <alignment horizontal="lef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8" xfId="0" applyNumberFormat="1" applyFont="1" applyBorder="1" applyAlignment="1" applyProtection="1">
      <alignment horizontal="center" vertical="center"/>
      <protection locked="0"/>
    </xf>
    <xf numFmtId="0" fontId="58" fillId="0" borderId="32"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7" xfId="0" applyFont="1" applyFill="1" applyBorder="1" applyAlignment="1" applyProtection="1">
      <alignment vertical="center" shrinkToFit="1"/>
      <protection locked="0"/>
    </xf>
    <xf numFmtId="0" fontId="1" fillId="0" borderId="32" xfId="0" applyFont="1" applyBorder="1" applyAlignment="1">
      <alignment horizontal="right" vertical="center"/>
    </xf>
    <xf numFmtId="0" fontId="1" fillId="0" borderId="61" xfId="0" applyFont="1" applyBorder="1" applyAlignment="1">
      <alignment horizontal="right" vertical="center"/>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61"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62" xfId="0" applyFont="1" applyBorder="1" applyAlignment="1" applyProtection="1">
      <alignment horizontal="center" vertical="center"/>
      <protection hidden="1"/>
    </xf>
    <xf numFmtId="0" fontId="39" fillId="0" borderId="62" xfId="0" applyFont="1" applyBorder="1" applyAlignment="1" applyProtection="1">
      <alignment vertical="center"/>
      <protection hidden="1"/>
    </xf>
    <xf numFmtId="0" fontId="0" fillId="0" borderId="61" xfId="0" applyBorder="1" applyAlignment="1">
      <alignment horizontal="right" vertical="center" wrapText="1"/>
    </xf>
    <xf numFmtId="49" fontId="13" fillId="33" borderId="57" xfId="0" applyNumberFormat="1" applyFont="1" applyFill="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49" fontId="13" fillId="0" borderId="59" xfId="0" applyNumberFormat="1" applyFont="1" applyBorder="1" applyAlignment="1" applyProtection="1">
      <alignment horizontal="left" vertical="center"/>
      <protection locked="0"/>
    </xf>
    <xf numFmtId="0" fontId="39" fillId="0" borderId="60" xfId="0" applyFont="1" applyBorder="1" applyAlignment="1" applyProtection="1">
      <alignment horizontal="center" vertical="center"/>
      <protection hidden="1"/>
    </xf>
    <xf numFmtId="0" fontId="0" fillId="0" borderId="60" xfId="0" applyBorder="1" applyAlignment="1">
      <alignment horizontal="center" vertical="center"/>
    </xf>
    <xf numFmtId="49" fontId="4" fillId="33" borderId="5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50" xfId="0" applyNumberFormat="1" applyFont="1" applyFill="1" applyBorder="1" applyAlignment="1" applyProtection="1">
      <alignment horizontal="center" vertical="center"/>
      <protection locked="0"/>
    </xf>
    <xf numFmtId="14" fontId="56" fillId="33" borderId="63" xfId="0" applyNumberFormat="1" applyFont="1" applyFill="1" applyBorder="1" applyAlignment="1" applyProtection="1">
      <alignment horizontal="center" vertical="center"/>
      <protection locked="0"/>
    </xf>
    <xf numFmtId="0" fontId="9" fillId="40" borderId="64" xfId="0" applyFont="1"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60" fillId="41" borderId="69"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70" xfId="0" applyFont="1" applyBorder="1" applyAlignment="1">
      <alignment vertical="center"/>
    </xf>
    <xf numFmtId="0" fontId="41"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0" fillId="0" borderId="73"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3"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49" fontId="13" fillId="33" borderId="5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33" borderId="57" xfId="35" applyFont="1" applyFill="1" applyBorder="1" applyAlignment="1" applyProtection="1">
      <alignment vertical="center"/>
      <protection locked="0"/>
    </xf>
    <xf numFmtId="0" fontId="34" fillId="0" borderId="58" xfId="0" applyFont="1" applyBorder="1" applyAlignment="1" applyProtection="1">
      <alignment vertical="center"/>
      <protection locked="0"/>
    </xf>
    <xf numFmtId="0" fontId="34" fillId="0" borderId="59" xfId="0" applyFont="1" applyBorder="1" applyAlignment="1" applyProtection="1">
      <alignment vertical="center"/>
      <protection locked="0"/>
    </xf>
    <xf numFmtId="0" fontId="8"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horizontal="left" vertical="center" wrapText="1"/>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11" fillId="0" borderId="13"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34" borderId="11" xfId="0" applyFont="1" applyFill="1" applyBorder="1" applyAlignment="1">
      <alignment vertical="center" wrapText="1"/>
    </xf>
    <xf numFmtId="0" fontId="11"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3" fillId="0" borderId="12" xfId="0" applyFont="1" applyBorder="1" applyAlignment="1">
      <alignment horizontal="left" vertical="center" wrapText="1" indent="1"/>
    </xf>
    <xf numFmtId="0" fontId="11" fillId="0" borderId="52" xfId="0" applyFont="1" applyFill="1" applyBorder="1" applyAlignment="1" applyProtection="1">
      <alignment vertical="center" wrapText="1"/>
      <protection hidden="1"/>
    </xf>
    <xf numFmtId="0" fontId="11"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0" fillId="0" borderId="29" xfId="0" applyFont="1" applyBorder="1" applyAlignment="1">
      <alignment horizontal="left" vertical="center" wrapText="1"/>
    </xf>
    <xf numFmtId="0" fontId="1" fillId="0" borderId="29" xfId="0" applyFont="1" applyBorder="1" applyAlignment="1">
      <alignment horizontal="left"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7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8" xfId="0" applyFont="1" applyBorder="1" applyAlignment="1">
      <alignment/>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45" borderId="81" xfId="0" applyFont="1" applyFill="1" applyBorder="1" applyAlignment="1">
      <alignment horizontal="left" vertical="center"/>
    </xf>
    <xf numFmtId="0" fontId="1" fillId="0" borderId="81" xfId="0" applyFont="1" applyBorder="1" applyAlignment="1">
      <alignment/>
    </xf>
    <xf numFmtId="0" fontId="15" fillId="0" borderId="29" xfId="0" applyFont="1" applyBorder="1" applyAlignment="1">
      <alignment horizontal="left" vertical="center" wrapText="1"/>
    </xf>
    <xf numFmtId="0" fontId="10" fillId="0" borderId="30" xfId="0" applyFont="1" applyBorder="1" applyAlignment="1">
      <alignment horizontal="left" vertical="center" wrapText="1"/>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81" xfId="0" applyFont="1" applyBorder="1" applyAlignment="1">
      <alignment vertical="center"/>
    </xf>
    <xf numFmtId="0" fontId="15" fillId="0" borderId="30" xfId="0" applyFont="1" applyBorder="1" applyAlignment="1">
      <alignment horizontal="left"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23" fillId="35" borderId="64" xfId="0" applyFont="1" applyFill="1" applyBorder="1" applyAlignment="1" applyProtection="1">
      <alignment horizontal="left" vertical="center" wrapText="1"/>
      <protection hidden="1"/>
    </xf>
    <xf numFmtId="0" fontId="14" fillId="0" borderId="65"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65" xfId="0" applyFont="1" applyFill="1" applyBorder="1" applyAlignment="1">
      <alignment horizontal="right" vertical="center" wrapText="1"/>
    </xf>
    <xf numFmtId="0" fontId="0" fillId="35" borderId="66"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3"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3"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xf numFmtId="0" fontId="14" fillId="44" borderId="8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J3/100*F3+2*K3/100*F3</f>
        <v>2931131.9244</v>
      </c>
      <c r="I3" s="25">
        <f>ABS(ROUND(J3,0)-J3)+ABS(ROUND(K3,0)-K3)</f>
        <v>0.5499999970197678</v>
      </c>
      <c r="J3" s="24">
        <f>ROUND(Bilanca!I10,2)</f>
        <v>38081288.44</v>
      </c>
      <c r="K3" s="24">
        <f>ROUND(Bilanca!J10,2)</f>
        <v>54237653.89</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aca="true" t="shared" si="0" ref="H4:H67">J4/100*F4+2*K4/100*F4</f>
        <v>178.54979999999998</v>
      </c>
      <c r="I4" s="25">
        <f aca="true" t="shared" si="1" ref="I4:I67">ABS(ROUND(J4,0)-J4)+ABS(ROUND(K4,0)-K4)</f>
        <v>0.20000000000004547</v>
      </c>
      <c r="J4" s="24">
        <f>ROUND(Bilanca!I11,2)</f>
        <v>2378.02</v>
      </c>
      <c r="K4" s="24">
        <f>ROUND(Bilanca!J11,2)</f>
        <v>1786.82</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02013720</v>
      </c>
      <c r="D6" s="4" t="s">
        <v>1991</v>
      </c>
      <c r="E6" s="4">
        <v>1</v>
      </c>
      <c r="F6" s="4">
        <f>Bilanca!G13</f>
        <v>5</v>
      </c>
      <c r="G6" s="4">
        <f>IF(Bilanca!H13=0,"",Bilanca!H13)</f>
      </c>
      <c r="H6" s="250">
        <f t="shared" si="0"/>
        <v>207.26850000000002</v>
      </c>
      <c r="I6" s="25">
        <f t="shared" si="1"/>
        <v>0.31999999999993634</v>
      </c>
      <c r="J6" s="24">
        <f>ROUND(Bilanca!I13,2)</f>
        <v>1706.91</v>
      </c>
      <c r="K6" s="24">
        <f>ROUND(Bilanca!J13,2)</f>
        <v>1219.23</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040224587</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06374155285</v>
      </c>
      <c r="D8" s="4" t="s">
        <v>1991</v>
      </c>
      <c r="E8" s="4">
        <v>1</v>
      </c>
      <c r="F8" s="4">
        <f>Bilanca!G15</f>
        <v>7</v>
      </c>
      <c r="G8" s="4">
        <f>IF(Bilanca!H15=0,"",Bilanca!H15)</f>
      </c>
      <c r="H8" s="250">
        <f t="shared" si="0"/>
        <v>126.44030000000001</v>
      </c>
      <c r="I8" s="25">
        <f t="shared" si="1"/>
        <v>0.5199999999999818</v>
      </c>
      <c r="J8" s="24">
        <f>ROUND(Bilanca!I15,2)</f>
        <v>671.11</v>
      </c>
      <c r="K8" s="24">
        <f>ROUND(Bilanca!J15,2)</f>
        <v>567.59</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MON PERIN D.D.</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52211</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BALE</v>
      </c>
      <c r="D11" s="4" t="s">
        <v>1991</v>
      </c>
      <c r="E11" s="4">
        <v>1</v>
      </c>
      <c r="F11" s="4">
        <f>Bilanca!G18</f>
        <v>10</v>
      </c>
      <c r="G11" s="4">
        <f>IF(Bilanca!H18=0,"",Bilanca!H18)</f>
      </c>
      <c r="H11" s="250">
        <f t="shared" si="0"/>
        <v>9695303.791</v>
      </c>
      <c r="I11" s="25">
        <f t="shared" si="1"/>
        <v>0.18000000342726707</v>
      </c>
      <c r="J11" s="24">
        <f>ROUND(Bilanca!I18,2)</f>
        <v>25484686.09</v>
      </c>
      <c r="K11" s="24">
        <f>ROUND(Bilanca!J18,2)</f>
        <v>35734175.91</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TRG LA MUSA 2</v>
      </c>
      <c r="D12" s="4" t="s">
        <v>1991</v>
      </c>
      <c r="E12" s="4">
        <v>1</v>
      </c>
      <c r="F12" s="4">
        <f>Bilanca!G19</f>
        <v>11</v>
      </c>
      <c r="G12" s="4">
        <f>IF(Bilanca!H19=0,"",Bilanca!H19)</f>
      </c>
      <c r="H12" s="250">
        <f t="shared" si="0"/>
        <v>189704.108</v>
      </c>
      <c r="I12" s="25">
        <f t="shared" si="1"/>
        <v>0.1300000000046566</v>
      </c>
      <c r="J12" s="24">
        <f>ROUND(Bilanca!I19,2)</f>
        <v>574860.94</v>
      </c>
      <c r="K12" s="24">
        <f>ROUND(Bilanca!J19,2)</f>
        <v>574860.93</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massimo.piutti@monperin.hr</v>
      </c>
      <c r="D13" s="4" t="s">
        <v>1991</v>
      </c>
      <c r="E13" s="4">
        <v>1</v>
      </c>
      <c r="F13" s="4">
        <f>Bilanca!G20</f>
        <v>12</v>
      </c>
      <c r="G13" s="4">
        <f>IF(Bilanca!H20=0,"",Bilanca!H20)</f>
      </c>
      <c r="H13" s="250">
        <f t="shared" si="0"/>
        <v>9089298.0816</v>
      </c>
      <c r="I13" s="25">
        <f t="shared" si="1"/>
        <v>0.9000000022351742</v>
      </c>
      <c r="J13" s="24">
        <f>ROUND(Bilanca!I20,2)</f>
        <v>20528493.52</v>
      </c>
      <c r="K13" s="24">
        <f>ROUND(Bilanca!J20,2)</f>
        <v>27607828.58</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t="str">
        <f>TRIM(RefStr!C37)</f>
        <v>www.monperin.hr</v>
      </c>
      <c r="D14" s="4" t="s">
        <v>1991</v>
      </c>
      <c r="E14" s="4">
        <v>1</v>
      </c>
      <c r="F14" s="4">
        <f>Bilanca!G21</f>
        <v>13</v>
      </c>
      <c r="G14" s="4">
        <f>IF(Bilanca!H21=0,"",Bilanca!H21)</f>
      </c>
      <c r="H14" s="250">
        <f t="shared" si="0"/>
        <v>683148.3906</v>
      </c>
      <c r="I14" s="25">
        <f t="shared" si="1"/>
        <v>0.6399999998975545</v>
      </c>
      <c r="J14" s="24">
        <f>ROUND(Bilanca!I21,2)</f>
        <v>1358108.78</v>
      </c>
      <c r="K14" s="24">
        <f>ROUND(Bilanca!J21,2)</f>
        <v>1948439.42</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18</v>
      </c>
      <c r="D15" s="4" t="s">
        <v>1991</v>
      </c>
      <c r="E15" s="4">
        <v>1</v>
      </c>
      <c r="F15" s="4">
        <f>Bilanca!G22</f>
        <v>14</v>
      </c>
      <c r="G15" s="4">
        <f>IF(Bilanca!H22=0,"",Bilanca!H22)</f>
      </c>
      <c r="H15" s="250">
        <f t="shared" si="0"/>
        <v>145596.8444</v>
      </c>
      <c r="I15" s="25">
        <f t="shared" si="1"/>
        <v>0.34000000002561137</v>
      </c>
      <c r="J15" s="24">
        <f>ROUND(Bilanca!I22,2)</f>
        <v>237115.86</v>
      </c>
      <c r="K15" s="24">
        <f>ROUND(Bilanca!J22,2)</f>
        <v>401430.8</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005</v>
      </c>
      <c r="D16" s="4" t="s">
        <v>1991</v>
      </c>
      <c r="E16" s="4">
        <v>1</v>
      </c>
      <c r="F16" s="4">
        <f>Bilanca!G23</f>
        <v>15</v>
      </c>
      <c r="G16" s="4">
        <f>IF(Bilanca!H23=0,"",Bilanca!H23)</f>
      </c>
      <c r="H16" s="250">
        <f t="shared" si="0"/>
        <v>76447.90350000001</v>
      </c>
      <c r="I16" s="25">
        <f t="shared" si="1"/>
        <v>0.22999999998137355</v>
      </c>
      <c r="J16" s="24">
        <f>ROUND(Bilanca!I23,2)</f>
        <v>145744.85</v>
      </c>
      <c r="K16" s="24">
        <f>ROUND(Bilanca!J23,2)</f>
        <v>181953.92</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5530</v>
      </c>
      <c r="D17" s="4" t="s">
        <v>1991</v>
      </c>
      <c r="E17" s="4">
        <v>1</v>
      </c>
      <c r="F17" s="4">
        <f>Bilanca!G24</f>
        <v>16</v>
      </c>
      <c r="G17" s="4">
        <f>IF(Bilanca!H24=0,"",Bilanca!H24)</f>
      </c>
      <c r="H17" s="250">
        <f t="shared" si="0"/>
        <v>323491.896</v>
      </c>
      <c r="I17" s="25">
        <f t="shared" si="1"/>
        <v>0.8699999999953434</v>
      </c>
      <c r="J17" s="24">
        <f>ROUND(Bilanca!I24,2)</f>
        <v>878419.39</v>
      </c>
      <c r="K17" s="24">
        <f>ROUND(Bilanca!J24,2)</f>
        <v>571702.48</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DA</v>
      </c>
      <c r="D18" s="4" t="s">
        <v>1991</v>
      </c>
      <c r="E18" s="4">
        <v>1</v>
      </c>
      <c r="F18" s="4">
        <f>Bilanca!G25</f>
        <v>17</v>
      </c>
      <c r="G18" s="4">
        <f>IF(Bilanca!H25=0,"",Bilanca!H25)</f>
      </c>
      <c r="H18" s="250">
        <f t="shared" si="0"/>
        <v>1778761.5440000002</v>
      </c>
      <c r="I18" s="25">
        <f t="shared" si="1"/>
        <v>0.5399999998044223</v>
      </c>
      <c r="J18" s="24">
        <f>ROUND(Bilanca!I25,2)</f>
        <v>1697089.72</v>
      </c>
      <c r="K18" s="24">
        <f>ROUND(Bilanca!J25,2)</f>
        <v>4383106.74</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DA</v>
      </c>
      <c r="D19" s="4" t="s">
        <v>1991</v>
      </c>
      <c r="E19" s="4">
        <v>1</v>
      </c>
      <c r="F19" s="4">
        <f>Bilanca!G26</f>
        <v>18</v>
      </c>
      <c r="G19" s="4">
        <f>IF(Bilanca!H26=0,"",Bilanca!H26)</f>
      </c>
      <c r="H19" s="250">
        <f t="shared" si="0"/>
        <v>35020.6398</v>
      </c>
      <c r="I19" s="25">
        <f t="shared" si="1"/>
        <v>0.06999999999970896</v>
      </c>
      <c r="J19" s="24">
        <f>ROUND(Bilanca!I26,2)</f>
        <v>64853.03</v>
      </c>
      <c r="K19" s="24">
        <f>ROUND(Bilanca!J26,2)</f>
        <v>64853.04</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2</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2</v>
      </c>
      <c r="D21" s="4" t="s">
        <v>1991</v>
      </c>
      <c r="E21" s="4">
        <v>1</v>
      </c>
      <c r="F21" s="4">
        <f>Bilanca!G28</f>
        <v>20</v>
      </c>
      <c r="G21" s="4">
        <f>IF(Bilanca!H28=0,"",Bilanca!H28)</f>
      </c>
      <c r="H21" s="250">
        <f t="shared" si="0"/>
        <v>9919521.33</v>
      </c>
      <c r="I21" s="25">
        <f t="shared" si="1"/>
        <v>0.4900000002235174</v>
      </c>
      <c r="J21" s="24">
        <f>ROUND(Bilanca!I28,2)</f>
        <v>12594224.33</v>
      </c>
      <c r="K21" s="24">
        <f>ROUND(Bilanca!J28,2)</f>
        <v>18501691.16</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21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99</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1</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41</v>
      </c>
      <c r="D25" s="4" t="s">
        <v>1991</v>
      </c>
      <c r="E25" s="4">
        <v>1</v>
      </c>
      <c r="F25" s="4">
        <f>Bilanca!G32</f>
        <v>24</v>
      </c>
      <c r="G25" s="4">
        <f>IF(Bilanca!H32=0,"",Bilanca!H32)</f>
      </c>
      <c r="H25" s="250">
        <f t="shared" si="0"/>
        <v>121036.83119999999</v>
      </c>
      <c r="I25" s="25">
        <f t="shared" si="1"/>
        <v>0.5800000000162981</v>
      </c>
      <c r="J25" s="24">
        <f>ROUND(Bilanca!I32,2)</f>
        <v>168106.71</v>
      </c>
      <c r="K25" s="24">
        <f>ROUND(Bilanca!J32,2)</f>
        <v>168106.71</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49</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41</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46</v>
      </c>
      <c r="D28" s="4" t="s">
        <v>1991</v>
      </c>
      <c r="E28" s="4">
        <v>1</v>
      </c>
      <c r="F28" s="4">
        <f>Bilanca!G35</f>
        <v>27</v>
      </c>
      <c r="G28" s="4">
        <f>IF(Bilanca!H35=0,"",Bilanca!H35)</f>
      </c>
      <c r="H28" s="250">
        <f t="shared" si="0"/>
        <v>12737486.563199999</v>
      </c>
      <c r="I28" s="25">
        <f t="shared" si="1"/>
        <v>0.1600000001490116</v>
      </c>
      <c r="J28" s="24">
        <f>ROUND(Bilanca!I35,2)</f>
        <v>12402140.16</v>
      </c>
      <c r="K28" s="24">
        <f>ROUND(Bilanca!J35,2)</f>
        <v>17386868</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536874.9008</v>
      </c>
      <c r="I29" s="25">
        <f t="shared" si="1"/>
        <v>0.9099999999525608</v>
      </c>
      <c r="J29" s="24">
        <f>ROUND(Bilanca!I36,2)</f>
        <v>23977.46</v>
      </c>
      <c r="K29" s="24">
        <f>ROUND(Bilanca!J36,2)</f>
        <v>946716.45</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t="str">
        <f>RefStr!B64</f>
        <v>04280237</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t="str">
        <f>RefStr!B66</f>
        <v>M.I. RAČUNOVOĐA D.O.O.</v>
      </c>
      <c r="D38" s="4" t="s">
        <v>1991</v>
      </c>
      <c r="E38" s="4">
        <v>1</v>
      </c>
      <c r="F38" s="4">
        <f>Bilanca!G45</f>
        <v>37</v>
      </c>
      <c r="G38" s="4">
        <f>IF(Bilanca!H45=0,"",Bilanca!H45)</f>
      </c>
      <c r="H38" s="250">
        <f t="shared" si="0"/>
        <v>6551152.404700001</v>
      </c>
      <c r="I38" s="25">
        <f t="shared" si="1"/>
        <v>0.5800000000745058</v>
      </c>
      <c r="J38" s="24">
        <f>ROUND(Bilanca!I45,2)</f>
        <v>4998967.49</v>
      </c>
      <c r="K38" s="24">
        <f>ROUND(Bilanca!J45,2)</f>
        <v>6353424.91</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Ivana Mikulek</v>
      </c>
      <c r="D39" s="4" t="s">
        <v>1991</v>
      </c>
      <c r="E39" s="4">
        <v>1</v>
      </c>
      <c r="F39" s="4">
        <f>Bilanca!G46</f>
        <v>38</v>
      </c>
      <c r="G39" s="4">
        <f>IF(Bilanca!H46=0,"",Bilanca!H46)</f>
      </c>
      <c r="H39" s="250">
        <f t="shared" si="0"/>
        <v>76863.4094</v>
      </c>
      <c r="I39" s="25">
        <f t="shared" si="1"/>
        <v>0.6499999999941792</v>
      </c>
      <c r="J39" s="24">
        <f>ROUND(Bilanca!I46,2)</f>
        <v>51005.17</v>
      </c>
      <c r="K39" s="24">
        <f>ROUND(Bilanca!J46,2)</f>
        <v>75633.48</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052824186</v>
      </c>
      <c r="D40" s="4" t="s">
        <v>1991</v>
      </c>
      <c r="E40" s="4">
        <v>1</v>
      </c>
      <c r="F40" s="4">
        <f>Bilanca!G47</f>
        <v>39</v>
      </c>
      <c r="G40" s="4">
        <f>IF(Bilanca!H47=0,"",Bilanca!H47)</f>
      </c>
      <c r="H40" s="250">
        <f t="shared" si="0"/>
        <v>237.5997</v>
      </c>
      <c r="I40" s="25">
        <f t="shared" si="1"/>
        <v>0.4900000000000091</v>
      </c>
      <c r="J40" s="24">
        <f>ROUND(Bilanca!I47,2)</f>
        <v>189.79</v>
      </c>
      <c r="K40" s="24">
        <f>ROUND(Bilanca!J47,2)</f>
        <v>209.72</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ivana.mikulek@mi-racunovoda.hr</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Piutti Massimo</v>
      </c>
      <c r="D43" s="4" t="s">
        <v>1991</v>
      </c>
      <c r="E43" s="4">
        <v>1</v>
      </c>
      <c r="F43" s="4">
        <f>Bilanca!G50</f>
        <v>42</v>
      </c>
      <c r="G43" s="4">
        <f>IF(Bilanca!H50=0,"",Bilanca!H50)</f>
      </c>
      <c r="H43" s="250">
        <f t="shared" si="0"/>
        <v>23627.8728</v>
      </c>
      <c r="I43" s="25">
        <f t="shared" si="1"/>
        <v>0.249999999998181</v>
      </c>
      <c r="J43" s="24">
        <f>ROUND(Bilanca!I50,2)</f>
        <v>14596.78</v>
      </c>
      <c r="K43" s="24">
        <f>ROUND(Bilanca!J50,2)</f>
        <v>20830.03</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62524.605800000005</v>
      </c>
      <c r="I44" s="25">
        <f t="shared" si="1"/>
        <v>0.6699999999982538</v>
      </c>
      <c r="J44" s="24">
        <f>ROUND(Bilanca!I51,2)</f>
        <v>36218.6</v>
      </c>
      <c r="K44" s="24">
        <f>ROUND(Bilanca!J51,2)</f>
        <v>54593.73</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811856.3966</v>
      </c>
      <c r="I47" s="25">
        <f t="shared" si="1"/>
        <v>0.8300000000162981</v>
      </c>
      <c r="J47" s="24">
        <f>ROUND(Bilanca!I54,2)</f>
        <v>385874.45</v>
      </c>
      <c r="K47" s="24">
        <f>ROUND(Bilanca!J54,2)</f>
        <v>689515.38</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NE</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NE</v>
      </c>
      <c r="D49" s="4" t="s">
        <v>1991</v>
      </c>
      <c r="E49" s="4">
        <v>1</v>
      </c>
      <c r="F49" s="4">
        <f>Bilanca!G56</f>
        <v>48</v>
      </c>
      <c r="G49" s="4">
        <f>IF(Bilanca!H56=0,"",Bilanca!H56)</f>
      </c>
      <c r="H49" s="250">
        <f t="shared" si="0"/>
        <v>182880.71520000004</v>
      </c>
      <c r="I49" s="25">
        <f t="shared" si="1"/>
        <v>0.44999999999754436</v>
      </c>
      <c r="J49" s="24">
        <f>ROUND(Bilanca!I56,2)</f>
        <v>3393.61</v>
      </c>
      <c r="K49" s="24">
        <f>ROUND(Bilanca!J56,2)</f>
        <v>188803.94</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DA</v>
      </c>
      <c r="D50" s="4" t="s">
        <v>1991</v>
      </c>
      <c r="E50" s="4">
        <v>1</v>
      </c>
      <c r="F50" s="4">
        <f>Bilanca!G57</f>
        <v>49</v>
      </c>
      <c r="G50" s="4">
        <f>IF(Bilanca!H57=0,"",Bilanca!H57)</f>
      </c>
      <c r="H50" s="250">
        <f t="shared" si="0"/>
        <v>204074.0975</v>
      </c>
      <c r="I50" s="25">
        <f t="shared" si="1"/>
        <v>0.7200000000157161</v>
      </c>
      <c r="J50" s="24">
        <f>ROUND(Bilanca!I57,2)</f>
        <v>176232.77</v>
      </c>
      <c r="K50" s="24">
        <f>ROUND(Bilanca!J57,2)</f>
        <v>120122.49</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DA</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364244.10120000003</v>
      </c>
      <c r="I52" s="25">
        <f t="shared" si="1"/>
        <v>0.7800000000279397</v>
      </c>
      <c r="J52" s="24">
        <f>ROUND(Bilanca!I59,2)</f>
        <v>111243.44</v>
      </c>
      <c r="K52" s="24">
        <f>ROUND(Bilanca!J59,2)</f>
        <v>301480.34</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DA</v>
      </c>
      <c r="D53" s="4" t="s">
        <v>1991</v>
      </c>
      <c r="E53" s="4">
        <v>1</v>
      </c>
      <c r="F53" s="4">
        <f>Bilanca!G60</f>
        <v>52</v>
      </c>
      <c r="G53" s="4">
        <f>IF(Bilanca!H60=0,"",Bilanca!H60)</f>
      </c>
      <c r="H53" s="250">
        <f t="shared" si="0"/>
        <v>131675.36200000002</v>
      </c>
      <c r="I53" s="25">
        <f t="shared" si="1"/>
        <v>0.7599999999947613</v>
      </c>
      <c r="J53" s="24">
        <f>ROUND(Bilanca!I60,2)</f>
        <v>95004.63</v>
      </c>
      <c r="K53" s="24">
        <f>ROUND(Bilanca!J60,2)</f>
        <v>79108.61</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DA</v>
      </c>
      <c r="D54" s="4" t="s">
        <v>1991</v>
      </c>
      <c r="E54" s="4">
        <v>1</v>
      </c>
      <c r="F54" s="4">
        <f>Bilanca!G61</f>
        <v>53</v>
      </c>
      <c r="G54" s="4">
        <f>IF(Bilanca!H61=0,"",Bilanca!H61)</f>
      </c>
      <c r="H54" s="250">
        <f t="shared" si="0"/>
        <v>6527819.5657</v>
      </c>
      <c r="I54" s="25">
        <f t="shared" si="1"/>
        <v>0.5800000000745058</v>
      </c>
      <c r="J54" s="24">
        <f>ROUND(Bilanca!I61,2)</f>
        <v>2592354.51</v>
      </c>
      <c r="K54" s="24">
        <f>ROUND(Bilanca!J61,2)</f>
        <v>4862143.09</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DA</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NE</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2306304382.05</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7513150.8209</v>
      </c>
      <c r="I62" s="25">
        <f t="shared" si="1"/>
        <v>0.5800000000745058</v>
      </c>
      <c r="J62" s="24">
        <f>ROUND(Bilanca!I69,2)</f>
        <v>2592354.51</v>
      </c>
      <c r="K62" s="24">
        <f>ROUND(Bilanca!J69,2)</f>
        <v>4862143.09</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71799539000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2155859.5464000003</v>
      </c>
      <c r="I64" s="25">
        <f t="shared" si="1"/>
        <v>0.4000000001396984</v>
      </c>
      <c r="J64" s="24">
        <f>ROUND(Bilanca!I71,2)</f>
        <v>1969733.36</v>
      </c>
      <c r="K64" s="24">
        <f>ROUND(Bilanca!J71,2)</f>
        <v>726132.96</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MSFI</v>
      </c>
      <c r="D65" s="4" t="s">
        <v>1991</v>
      </c>
      <c r="E65" s="4">
        <v>1</v>
      </c>
      <c r="F65" s="4">
        <f>Bilanca!G72</f>
        <v>64</v>
      </c>
      <c r="G65" s="4">
        <f>IF(Bilanca!H72=0,"",Bilanca!H72)</f>
      </c>
      <c r="H65" s="250">
        <f t="shared" si="0"/>
        <v>0</v>
      </c>
      <c r="I65" s="25">
        <f t="shared" si="1"/>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t="shared" si="0"/>
        <v>106770568.7945</v>
      </c>
      <c r="I66" s="25">
        <f t="shared" si="1"/>
        <v>0.27000000327825546</v>
      </c>
      <c r="J66" s="24">
        <f>ROUND(Bilanca!I73,2)</f>
        <v>43080255.93</v>
      </c>
      <c r="K66" s="24">
        <f>ROUND(Bilanca!J73,2)</f>
        <v>60591078.8</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052/824-075</v>
      </c>
      <c r="D67" s="4" t="s">
        <v>1991</v>
      </c>
      <c r="E67" s="4">
        <v>1</v>
      </c>
      <c r="F67" s="4">
        <f>Bilanca!G74</f>
        <v>66</v>
      </c>
      <c r="G67" s="4">
        <f>IF(Bilanca!H74=0,"",Bilanca!H74)</f>
      </c>
      <c r="H67" s="250">
        <f t="shared" si="0"/>
        <v>7286076.5406</v>
      </c>
      <c r="I67" s="25">
        <f t="shared" si="1"/>
        <v>0.12000000075204298</v>
      </c>
      <c r="J67" s="24">
        <f>ROUND(Bilanca!I74,2)</f>
        <v>10673740.05</v>
      </c>
      <c r="K67" s="24">
        <f>ROUND(Bilanca!J74,2)</f>
        <v>182884.93</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7</v>
      </c>
      <c r="D68" s="4" t="s">
        <v>1991</v>
      </c>
      <c r="E68" s="4">
        <v>1</v>
      </c>
      <c r="F68" s="4">
        <f>Bilanca!G76</f>
        <v>67</v>
      </c>
      <c r="G68" s="4">
        <f>IF(Bilanca!H76=0,"",Bilanca!H76)</f>
      </c>
      <c r="H68" s="250">
        <f aca="true" t="shared" si="2" ref="H68:H127">J68/100*F68+2*K68/100*F68</f>
        <v>69507696.2876</v>
      </c>
      <c r="I68" s="25">
        <f aca="true" t="shared" si="3" ref="I68:I127">ABS(ROUND(J68,0)-J68)+ABS(ROUND(K68,0)-K68)</f>
        <v>0.14000000059604645</v>
      </c>
      <c r="J68" s="24">
        <f>ROUND(Bilanca!I76,2)</f>
        <v>29214924</v>
      </c>
      <c r="K68" s="24">
        <f>ROUND(Bilanca!J76,2)</f>
        <v>37263953.14</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28897703.7624</v>
      </c>
      <c r="I69" s="25">
        <f t="shared" si="3"/>
        <v>0.17999999970197678</v>
      </c>
      <c r="J69" s="24">
        <f>ROUND(Bilanca!I77,2)</f>
        <v>14165541.18</v>
      </c>
      <c r="K69" s="24">
        <f>ROUND(Bilanca!J77,2)</f>
        <v>14165541</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24774537.857699998</v>
      </c>
      <c r="I70" s="25">
        <f t="shared" si="3"/>
        <v>0.5099999997764826</v>
      </c>
      <c r="J70" s="24">
        <f>ROUND(Bilanca!I78,2)</f>
        <v>11894389.65</v>
      </c>
      <c r="K70" s="24">
        <f>ROUND(Bilanca!J78,2)</f>
        <v>12005368.84</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159264.67200000002</v>
      </c>
      <c r="I71" s="25">
        <f t="shared" si="3"/>
        <v>0.6400000000139698</v>
      </c>
      <c r="J71" s="24">
        <f>ROUND(Bilanca!I79,2)</f>
        <v>75840.32</v>
      </c>
      <c r="K71" s="24">
        <f>ROUND(Bilanca!J79,2)</f>
        <v>75840.32</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161539.88160000002</v>
      </c>
      <c r="I72" s="25">
        <f t="shared" si="3"/>
        <v>0.6400000000139698</v>
      </c>
      <c r="J72" s="24">
        <f>ROUND(Bilanca!I80,2)</f>
        <v>75840.32</v>
      </c>
      <c r="K72" s="24">
        <f>ROUND(Bilanca!J80,2)</f>
        <v>75840.32</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243559.7856</v>
      </c>
      <c r="I73" s="25">
        <f t="shared" si="3"/>
        <v>0.2699999999895226</v>
      </c>
      <c r="J73" s="24">
        <f>ROUND(Bilanca!I81,2)</f>
        <v>192853.98</v>
      </c>
      <c r="K73" s="24">
        <f>ROUND(Bilanca!J81,2)</f>
        <v>72711.75</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246942.5604</v>
      </c>
      <c r="I74" s="25">
        <f t="shared" si="3"/>
        <v>0.2699999999895226</v>
      </c>
      <c r="J74" s="24">
        <f>ROUND(Bilanca!I82,2)</f>
        <v>192853.98</v>
      </c>
      <c r="K74" s="24">
        <f>ROUND(Bilanca!J82,2)</f>
        <v>72711.75</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1154357.9817000004</v>
      </c>
      <c r="I78" s="25">
        <f t="shared" si="3"/>
        <v>0.5800000000745058</v>
      </c>
      <c r="J78" s="24">
        <f>ROUND(Bilanca!I86,2)</f>
        <v>-2528707.37</v>
      </c>
      <c r="K78" s="24">
        <f>ROUND(Bilanca!J86,2)</f>
        <v>2013936.79</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1169349.6438000002</v>
      </c>
      <c r="I79" s="25">
        <f t="shared" si="3"/>
        <v>0.5800000000745058</v>
      </c>
      <c r="J79" s="24">
        <f>ROUND(Bilanca!I87,2)</f>
        <v>-2528707.37</v>
      </c>
      <c r="K79" s="24">
        <f>ROUND(Bilanca!J87,2)</f>
        <v>2013936.79</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8322686.556000001</v>
      </c>
      <c r="I84" s="25">
        <f t="shared" si="3"/>
        <v>0.5500000002793968</v>
      </c>
      <c r="J84" s="24">
        <f>ROUND(Bilanca!I92,2)</f>
        <v>2411360.1</v>
      </c>
      <c r="K84" s="24">
        <f>ROUND(Bilanca!J92,2)</f>
        <v>3807986.55</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8422959.888</v>
      </c>
      <c r="I85" s="25">
        <f t="shared" si="3"/>
        <v>0.5500000002793968</v>
      </c>
      <c r="J85" s="24">
        <f>ROUND(Bilanca!I93,2)</f>
        <v>2411360.1</v>
      </c>
      <c r="K85" s="24">
        <f>ROUND(Bilanca!J93,2)</f>
        <v>3807986.55</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11684871.083999999</v>
      </c>
      <c r="I87" s="25">
        <f t="shared" si="3"/>
        <v>0.48000000044703484</v>
      </c>
      <c r="J87" s="24">
        <f>ROUND(Bilanca!I95,2)</f>
        <v>3196500.12</v>
      </c>
      <c r="K87" s="24">
        <f>ROUND(Bilanca!J95,2)</f>
        <v>5195279.64</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11820741.678</v>
      </c>
      <c r="I88" s="25">
        <f t="shared" si="3"/>
        <v>0.48000000044703484</v>
      </c>
      <c r="J88" s="24">
        <f>ROUND(Bilanca!I96,2)</f>
        <v>3196500.12</v>
      </c>
      <c r="K88" s="24">
        <f>ROUND(Bilanca!J96,2)</f>
        <v>5195279.64</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545674.068</v>
      </c>
      <c r="I91" s="25">
        <f t="shared" si="3"/>
        <v>0.2600000000093132</v>
      </c>
      <c r="J91" s="24">
        <f>ROUND(Bilanca!I99,2)</f>
        <v>205898</v>
      </c>
      <c r="K91" s="24">
        <f>ROUND(Bilanca!J99,2)</f>
        <v>200203.26</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481385.6049</v>
      </c>
      <c r="I94" s="25">
        <f t="shared" si="3"/>
        <v>0.7099999999918509</v>
      </c>
      <c r="J94" s="24">
        <f>ROUND(Bilanca!I102,2)</f>
        <v>172539.65</v>
      </c>
      <c r="K94" s="24">
        <f>ROUND(Bilanca!J102,2)</f>
        <v>172539.64</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85138.16639999999</v>
      </c>
      <c r="I97" s="25">
        <f t="shared" si="3"/>
        <v>0.7299999999995634</v>
      </c>
      <c r="J97" s="24">
        <f>ROUND(Bilanca!I105,2)</f>
        <v>33358.35</v>
      </c>
      <c r="K97" s="24">
        <f>ROUND(Bilanca!J105,2)</f>
        <v>27663.62</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50160749.047400005</v>
      </c>
      <c r="I98" s="25">
        <f t="shared" si="3"/>
        <v>0.3499999977648258</v>
      </c>
      <c r="J98" s="24">
        <f>ROUND(Bilanca!I106,2)</f>
        <v>11437489.04</v>
      </c>
      <c r="K98" s="24">
        <f>ROUND(Bilanca!J106,2)</f>
        <v>20137311.69</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2345875.6213</v>
      </c>
      <c r="I102" s="25">
        <f t="shared" si="3"/>
        <v>0.6899999999441206</v>
      </c>
      <c r="J102" s="24">
        <f>ROUND(Bilanca!I110,2)</f>
        <v>862698.25</v>
      </c>
      <c r="K102" s="24">
        <f>ROUND(Bilanca!J110,2)</f>
        <v>729975.44</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35244032.416</v>
      </c>
      <c r="I104" s="25">
        <f t="shared" si="3"/>
        <v>0.15000000037252903</v>
      </c>
      <c r="J104" s="24">
        <f>ROUND(Bilanca!I112,2)</f>
        <v>5730713.1</v>
      </c>
      <c r="K104" s="24">
        <f>ROUND(Bilanca!J112,2)</f>
        <v>14243397.05</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15002178.166499998</v>
      </c>
      <c r="I106" s="25">
        <f t="shared" si="3"/>
        <v>0.7900000000372529</v>
      </c>
      <c r="J106" s="24">
        <f>ROUND(Bilanca!I114,2)</f>
        <v>4844077.69</v>
      </c>
      <c r="K106" s="24">
        <f>ROUND(Bilanca!J114,2)</f>
        <v>4721855.52</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954900.7488000001</v>
      </c>
      <c r="I109" s="25">
        <f t="shared" si="3"/>
        <v>0.3200000000069849</v>
      </c>
      <c r="J109" s="24">
        <f>ROUND(Bilanca!I117,2)</f>
        <v>0</v>
      </c>
      <c r="K109" s="24">
        <f>ROUND(Bilanca!J117,2)</f>
        <v>442083.68</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8770982.493700001</v>
      </c>
      <c r="I110" s="25">
        <f t="shared" si="3"/>
        <v>0.1299999998882413</v>
      </c>
      <c r="J110" s="24">
        <f>ROUND(Bilanca!I118,2)</f>
        <v>2221944.89</v>
      </c>
      <c r="K110" s="24">
        <f>ROUND(Bilanca!J118,2)</f>
        <v>2912414.02</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218211.2576</v>
      </c>
      <c r="I113" s="25">
        <f t="shared" si="3"/>
        <v>0.37000000000116984</v>
      </c>
      <c r="J113" s="24">
        <f>ROUND(Bilanca!I121,2)</f>
        <v>194333.78</v>
      </c>
      <c r="K113" s="24">
        <f>ROUND(Bilanca!J121,2)</f>
        <v>248.85</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487424.53949999996</v>
      </c>
      <c r="I114" s="25">
        <f t="shared" si="3"/>
        <v>0.6699999999837019</v>
      </c>
      <c r="J114" s="24">
        <f>ROUND(Bilanca!I122,2)</f>
        <v>165903.51</v>
      </c>
      <c r="K114" s="24">
        <f>ROUND(Bilanca!J122,2)</f>
        <v>132722.82</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4012521.327</v>
      </c>
      <c r="I116" s="25">
        <f t="shared" si="3"/>
        <v>0.010000000009313226</v>
      </c>
      <c r="J116" s="24">
        <f>ROUND(Bilanca!I124,2)</f>
        <v>648249</v>
      </c>
      <c r="K116" s="24">
        <f>ROUND(Bilanca!J124,2)</f>
        <v>1420449.99</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961451.3607999999</v>
      </c>
      <c r="I117" s="25">
        <f t="shared" si="3"/>
        <v>0.7000000000116415</v>
      </c>
      <c r="J117" s="24">
        <f>ROUND(Bilanca!I125,2)</f>
        <v>302508.66</v>
      </c>
      <c r="K117" s="24">
        <f>ROUND(Bilanca!J125,2)</f>
        <v>263164.36</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3350782.5623999997</v>
      </c>
      <c r="I118" s="25">
        <f t="shared" si="3"/>
        <v>0.5199999999022111</v>
      </c>
      <c r="J118" s="24">
        <f>ROUND(Bilanca!I126,2)</f>
        <v>833898.32</v>
      </c>
      <c r="K118" s="24">
        <f>ROUND(Bilanca!J126,2)</f>
        <v>1015009.2</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140925.5358</v>
      </c>
      <c r="I120" s="25">
        <f t="shared" si="3"/>
        <v>0.7599999999947613</v>
      </c>
      <c r="J120" s="24">
        <f>ROUND(Bilanca!I128,2)</f>
        <v>40329.66</v>
      </c>
      <c r="K120" s="24">
        <f>ROUND(Bilanca!J128,2)</f>
        <v>39047.58</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97324.212</v>
      </c>
      <c r="I121" s="25">
        <f t="shared" si="3"/>
        <v>0.5999999999985448</v>
      </c>
      <c r="J121" s="24">
        <f>ROUND(Bilanca!I129,2)</f>
        <v>25206.77</v>
      </c>
      <c r="K121" s="24">
        <f>ROUND(Bilanca!J129,2)</f>
        <v>27948.37</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46890.5855</v>
      </c>
      <c r="I122" s="25">
        <f t="shared" si="3"/>
        <v>0.3600000000005821</v>
      </c>
      <c r="J122" s="24">
        <f>ROUND(Bilanca!I130,2)</f>
        <v>11305.09</v>
      </c>
      <c r="K122" s="24">
        <f>ROUND(Bilanca!J130,2)</f>
        <v>13723.73</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502.2582</v>
      </c>
      <c r="I124" s="25">
        <f t="shared" si="3"/>
        <v>0.21999999999999886</v>
      </c>
      <c r="J124" s="24">
        <f>ROUND(Bilanca!I132,2)</f>
        <v>210.1</v>
      </c>
      <c r="K124" s="24">
        <f>ROUND(Bilanca!J132,2)</f>
        <v>99.12</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191447.7912</v>
      </c>
      <c r="I125" s="25">
        <f t="shared" si="3"/>
        <v>0.3099999999976717</v>
      </c>
      <c r="J125" s="24">
        <f>ROUND(Bilanca!I133,2)</f>
        <v>0</v>
      </c>
      <c r="K125" s="24">
        <f>ROUND(Bilanca!J133,2)</f>
        <v>77196.69</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205328016.9125</v>
      </c>
      <c r="I126" s="25">
        <f t="shared" si="3"/>
        <v>0.27000000327825546</v>
      </c>
      <c r="J126" s="24">
        <f>ROUND(Bilanca!I134,2)</f>
        <v>43080255.93</v>
      </c>
      <c r="K126" s="24">
        <f>ROUND(Bilanca!J134,2)</f>
        <v>60591078.8</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13909782.4866</v>
      </c>
      <c r="I127" s="25">
        <f t="shared" si="3"/>
        <v>0.12000000075204298</v>
      </c>
      <c r="J127" s="24">
        <f>ROUND(Bilanca!I135,2)</f>
        <v>10673740.05</v>
      </c>
      <c r="K127" s="24">
        <f>ROUND(Bilanca!J135,2)</f>
        <v>182884.93</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J128/100*F128+2*K128/100*F128</f>
        <v>48362719.060499996</v>
      </c>
      <c r="I128" s="4">
        <f>ABS(ROUND(J128,0)-J128)+ABS(ROUND(K128,0)-K128)</f>
        <v>0.5700000002980232</v>
      </c>
      <c r="J128" s="24">
        <f>ROUND(RDG!I8,2)</f>
        <v>9796010.67</v>
      </c>
      <c r="K128" s="24">
        <f>ROUND(RDG!J8,2)</f>
        <v>14142435.24</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J129/100*F129+2*K129/100*F129</f>
        <v>0</v>
      </c>
      <c r="I129" s="4">
        <f>ABS(ROUND(J129,0)-J129)+ABS(ROUND(K129,0)-K129)</f>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2">J130/100*F130+2*K130/100*F130</f>
        <v>48154782.2553</v>
      </c>
      <c r="I130" s="4">
        <f aca="true" t="shared" si="5" ref="I130:I192">ABS(ROUND(J130,0)-J130)+ABS(ROUND(K130,0)-K130)</f>
        <v>0.4199999999254942</v>
      </c>
      <c r="J130" s="24">
        <f>ROUND(RDG!I10,2)</f>
        <v>9623498.59</v>
      </c>
      <c r="K130" s="24">
        <f>ROUND(RDG!J10,2)</f>
        <v>13852894.99</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65401.388000000006</v>
      </c>
      <c r="I131" s="4">
        <f t="shared" si="5"/>
        <v>0.2699999999967986</v>
      </c>
      <c r="J131" s="24">
        <f>ROUND(RDG!I11,2)</f>
        <v>16767.1</v>
      </c>
      <c r="K131" s="24">
        <f>ROUND(RDG!J11,2)</f>
        <v>16770.83</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925694.6424</v>
      </c>
      <c r="I133" s="4">
        <f t="shared" si="5"/>
        <v>0.4399999999732245</v>
      </c>
      <c r="J133" s="24">
        <f>ROUND(RDG!I13,2)</f>
        <v>155744.98</v>
      </c>
      <c r="K133" s="24">
        <f>ROUND(RDG!J13,2)</f>
        <v>272769.42</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32783405.6893</v>
      </c>
      <c r="I134" s="4">
        <f t="shared" si="5"/>
        <v>0.599999999627471</v>
      </c>
      <c r="J134" s="24">
        <f>ROUND(RDG!I14,2)</f>
        <v>6519091.59</v>
      </c>
      <c r="K134" s="24">
        <f>ROUND(RDG!J14,2)</f>
        <v>9065042.81</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19017527.395499997</v>
      </c>
      <c r="I136" s="4">
        <f t="shared" si="5"/>
        <v>0.2900000000372529</v>
      </c>
      <c r="J136" s="24">
        <f>ROUND(RDG!I16,2)</f>
        <v>3266177.25</v>
      </c>
      <c r="K136" s="24">
        <f>ROUND(RDG!J16,2)</f>
        <v>5410440.04</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2860534.0632</v>
      </c>
      <c r="I137" s="4">
        <f t="shared" si="5"/>
        <v>0.5699999999487773</v>
      </c>
      <c r="J137" s="24">
        <f>ROUND(RDG!I17,2)</f>
        <v>597230.91</v>
      </c>
      <c r="K137" s="24">
        <f>ROUND(RDG!J17,2)</f>
        <v>753051.48</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2051694.327</v>
      </c>
      <c r="I138" s="4">
        <f t="shared" si="5"/>
        <v>0.1000000000003638</v>
      </c>
      <c r="J138" s="24">
        <f>ROUND(RDG!I18,2)</f>
        <v>14427.1</v>
      </c>
      <c r="K138" s="24">
        <f>ROUND(RDG!J18,2)</f>
        <v>741580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14470868.1768</v>
      </c>
      <c r="I139" s="4">
        <f t="shared" si="5"/>
        <v>0.6800000001676381</v>
      </c>
      <c r="J139" s="24">
        <f>ROUND(RDG!I19,2)</f>
        <v>2654519.24</v>
      </c>
      <c r="K139" s="24">
        <f>ROUND(RDG!J19,2)</f>
        <v>3915808.56</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3098167.2191999997</v>
      </c>
      <c r="I140" s="4">
        <f t="shared" si="5"/>
        <v>0.2099999999627471</v>
      </c>
      <c r="J140" s="24">
        <f>ROUND(RDG!I20,2)</f>
        <v>626863.14</v>
      </c>
      <c r="K140" s="24">
        <f>ROUND(RDG!J20,2)</f>
        <v>801017.07</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1842302.364</v>
      </c>
      <c r="I141" s="4">
        <f t="shared" si="5"/>
        <v>0.5599999999976717</v>
      </c>
      <c r="J141" s="24">
        <f>ROUND(RDG!I21,2)</f>
        <v>391866.62</v>
      </c>
      <c r="K141" s="24">
        <f>ROUND(RDG!J21,2)</f>
        <v>462031.82</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824207.9706000001</v>
      </c>
      <c r="I142" s="4">
        <f t="shared" si="5"/>
        <v>0.46000000002095476</v>
      </c>
      <c r="J142" s="24">
        <f>ROUND(RDG!I22,2)</f>
        <v>150408.26</v>
      </c>
      <c r="K142" s="24">
        <f>ROUND(RDG!J22,2)</f>
        <v>217068.2</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466359.75119999994</v>
      </c>
      <c r="I143" s="4">
        <f t="shared" si="5"/>
        <v>0.3099999999976717</v>
      </c>
      <c r="J143" s="24">
        <f>ROUND(RDG!I23,2)</f>
        <v>84588.26</v>
      </c>
      <c r="K143" s="24">
        <f>ROUND(RDG!J23,2)</f>
        <v>121917.05</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8864786.645</v>
      </c>
      <c r="I144" s="4">
        <f t="shared" si="5"/>
        <v>0.25</v>
      </c>
      <c r="J144" s="24">
        <f>ROUND(RDG!I24,2)</f>
        <v>1917891</v>
      </c>
      <c r="K144" s="24">
        <f>ROUND(RDG!J24,2)</f>
        <v>2140630.25</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2386991.7216</v>
      </c>
      <c r="I145" s="4">
        <f t="shared" si="5"/>
        <v>0.14000000001396984</v>
      </c>
      <c r="J145" s="24">
        <f>ROUND(RDG!I25,2)</f>
        <v>412407.14</v>
      </c>
      <c r="K145" s="24">
        <f>ROUND(RDG!J25,2)</f>
        <v>622613</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72368.0632</v>
      </c>
      <c r="I149" s="4">
        <f t="shared" si="5"/>
        <v>0.22999999999956344</v>
      </c>
      <c r="J149" s="24">
        <f>ROUND(RDG!I29,2)</f>
        <v>26729.12</v>
      </c>
      <c r="K149" s="24">
        <f>ROUND(RDG!J29,2)</f>
        <v>11084.11</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72857.0366</v>
      </c>
      <c r="I150" s="4">
        <f t="shared" si="5"/>
        <v>0.22999999999956344</v>
      </c>
      <c r="J150" s="24">
        <f>ROUND(RDG!I30,2)</f>
        <v>26729.12</v>
      </c>
      <c r="K150" s="24">
        <f>ROUND(RDG!J30,2)</f>
        <v>11084.11</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662687.961</v>
      </c>
      <c r="I156" s="4">
        <f t="shared" si="5"/>
        <v>0.39999999999417923</v>
      </c>
      <c r="J156" s="24">
        <f>ROUND(RDG!I36,2)</f>
        <v>269023.94</v>
      </c>
      <c r="K156" s="24">
        <f>ROUND(RDG!J36,2)</f>
        <v>79258.34</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2563194.9876</v>
      </c>
      <c r="I157" s="4">
        <f t="shared" si="5"/>
        <v>0.28999999997904524</v>
      </c>
      <c r="J157" s="24">
        <f>ROUND(RDG!I37,2)</f>
        <v>458803.71</v>
      </c>
      <c r="K157" s="24">
        <f>ROUND(RDG!J37,2)</f>
        <v>592135</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2390549.4036</v>
      </c>
      <c r="I163" s="4">
        <f t="shared" si="5"/>
        <v>0.6199999999953434</v>
      </c>
      <c r="J163" s="24">
        <f>ROUND(RDG!I43,2)</f>
        <v>449497.46</v>
      </c>
      <c r="K163" s="24">
        <f>ROUND(RDG!J43,2)</f>
        <v>513075.16</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272619.6353</v>
      </c>
      <c r="I164" s="4">
        <f t="shared" si="5"/>
        <v>0.4599999999954889</v>
      </c>
      <c r="J164" s="24">
        <f>ROUND(RDG!I44,2)</f>
        <v>9277.77</v>
      </c>
      <c r="K164" s="24">
        <f>ROUND(RDG!J44,2)</f>
        <v>78986.77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286.3768</v>
      </c>
      <c r="I165" s="4">
        <f t="shared" si="5"/>
        <v>0.5499999999999936</v>
      </c>
      <c r="J165" s="24">
        <f>ROUND(RDG!I45,2)</f>
        <v>28.48</v>
      </c>
      <c r="K165" s="24">
        <f>ROUND(RDG!J45,2)</f>
        <v>73.07</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2484489.4775</v>
      </c>
      <c r="I168" s="4">
        <f t="shared" si="5"/>
        <v>0.5399999999790452</v>
      </c>
      <c r="J168" s="24">
        <f>ROUND(RDG!I48,2)</f>
        <v>539222.67</v>
      </c>
      <c r="K168" s="24">
        <f>ROUND(RDG!J48,2)</f>
        <v>474247.79</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2000112.3389999997</v>
      </c>
      <c r="I171" s="4">
        <f t="shared" si="5"/>
        <v>0.7799999999988358</v>
      </c>
      <c r="J171" s="24">
        <f>ROUND(RDG!I51,2)</f>
        <v>228221.41</v>
      </c>
      <c r="K171" s="24">
        <f>ROUND(RDG!J51,2)</f>
        <v>474157.63</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531812.1546</v>
      </c>
      <c r="I172" s="4">
        <f t="shared" si="5"/>
        <v>0.2600000000093132</v>
      </c>
      <c r="J172" s="24">
        <f>ROUND(RDG!I52,2)</f>
        <v>311001.26</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313.7568</v>
      </c>
      <c r="I175" s="4">
        <f t="shared" si="5"/>
        <v>0.1599999999999966</v>
      </c>
      <c r="J175" s="24">
        <f>ROUND(RDG!I55,2)</f>
        <v>0</v>
      </c>
      <c r="K175" s="24">
        <f>ROUND(RDG!J55,2)</f>
        <v>90.16</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71105879.19940001</v>
      </c>
      <c r="I180" s="4">
        <f t="shared" si="5"/>
        <v>0.6200000010430813</v>
      </c>
      <c r="J180" s="24">
        <f>ROUND(RDG!I60,2)</f>
        <v>10254814.38</v>
      </c>
      <c r="K180" s="24">
        <f>ROUND(RDG!J60,2)</f>
        <v>14734570.24</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47046411.828</v>
      </c>
      <c r="I181" s="4">
        <f t="shared" si="5"/>
        <v>0.6600000001490116</v>
      </c>
      <c r="J181" s="24">
        <f>ROUND(RDG!I61,2)</f>
        <v>7058314.26</v>
      </c>
      <c r="K181" s="24">
        <f>ROUND(RDG!J61,2)</f>
        <v>9539290.6</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24592577.514</v>
      </c>
      <c r="I182" s="4">
        <f t="shared" si="5"/>
        <v>0.48000000044703484</v>
      </c>
      <c r="J182" s="24">
        <f>ROUND(RDG!I62,2)</f>
        <v>3196500.12</v>
      </c>
      <c r="K182" s="24">
        <f>ROUND(RDG!J62,2)</f>
        <v>5195279.64</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24728448.108000003</v>
      </c>
      <c r="I183" s="4">
        <f t="shared" si="5"/>
        <v>0.48000000044703484</v>
      </c>
      <c r="J183" s="24">
        <f>ROUND(RDG!I63,2)</f>
        <v>3196500.12</v>
      </c>
      <c r="K183" s="24">
        <f>ROUND(RDG!J63,2)</f>
        <v>5195279.64</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0</v>
      </c>
      <c r="I185" s="4">
        <f t="shared" si="5"/>
        <v>0</v>
      </c>
      <c r="J185" s="24">
        <f>ROUND(RDG!I65,2)</f>
        <v>0</v>
      </c>
      <c r="K185" s="24">
        <f>ROUND(RDG!J65,2)</f>
        <v>0</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25136059.89</v>
      </c>
      <c r="I186" s="4">
        <f t="shared" si="5"/>
        <v>0.48000000044703484</v>
      </c>
      <c r="J186" s="24">
        <f>ROUND(RDG!I66,2)</f>
        <v>3196500.12</v>
      </c>
      <c r="K186" s="24">
        <f>ROUND(RDG!J66,2)</f>
        <v>5195279.64</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25271930.484</v>
      </c>
      <c r="I187" s="4">
        <f t="shared" si="5"/>
        <v>0.48000000044703484</v>
      </c>
      <c r="J187" s="24">
        <f>ROUND(RDG!I67,2)</f>
        <v>3196500.12</v>
      </c>
      <c r="K187" s="24">
        <f>ROUND(RDG!J67,2)</f>
        <v>5195279.64</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27309989.394</v>
      </c>
      <c r="I202" s="4">
        <f t="shared" si="7"/>
        <v>0.48000000044703484</v>
      </c>
      <c r="J202" s="24">
        <f>ROUND(RDG!I85,2)</f>
        <v>3196500.12</v>
      </c>
      <c r="K202" s="24">
        <f>ROUND(RDG!J85,2)</f>
        <v>5195279.64</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27445859.988</v>
      </c>
      <c r="I203" s="4">
        <f t="shared" si="7"/>
        <v>0.48000000044703484</v>
      </c>
      <c r="J203" s="24">
        <f>ROUND(RDG!I86,2)</f>
        <v>3196500.12</v>
      </c>
      <c r="K203" s="24">
        <f>ROUND(RDG!J86,2)</f>
        <v>5195279.64</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27717601.176000003</v>
      </c>
      <c r="I205" s="4">
        <f t="shared" si="7"/>
        <v>0.48000000044703484</v>
      </c>
      <c r="J205" s="24">
        <f>ROUND(RDG!I89,2)</f>
        <v>3196500.12</v>
      </c>
      <c r="K205" s="24">
        <f>ROUND(RDG!J89,2)</f>
        <v>5195279.64</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16851452.968</v>
      </c>
      <c r="I206" s="4">
        <f t="shared" si="7"/>
        <v>0.5200000001350418</v>
      </c>
      <c r="J206" s="24">
        <f>ROUND(RDG!I90,2)</f>
        <v>-865067.36</v>
      </c>
      <c r="K206" s="24">
        <f>ROUND(RDG!J90,2)</f>
        <v>4542644.16</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16933655.1776</v>
      </c>
      <c r="I207" s="4">
        <f t="shared" si="7"/>
        <v>0.5200000001350418</v>
      </c>
      <c r="J207" s="24">
        <f>ROUND(RDG!I91,2)</f>
        <v>-865067.36</v>
      </c>
      <c r="K207" s="24">
        <f>ROUND(RDG!J91,2)</f>
        <v>4542644.16</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17098059.5968</v>
      </c>
      <c r="I209" s="4">
        <f t="shared" si="7"/>
        <v>0.5200000001350418</v>
      </c>
      <c r="J209" s="24">
        <f>ROUND(RDG!I93,2)</f>
        <v>-865067.36</v>
      </c>
      <c r="K209" s="24">
        <f>ROUND(RDG!J93,2)</f>
        <v>4542644.16</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18331092.7408</v>
      </c>
      <c r="I224" s="4">
        <f t="shared" si="7"/>
        <v>0.5200000001350418</v>
      </c>
      <c r="J224" s="24">
        <f>ROUND(RDG!I108,2)</f>
        <v>-865067.36</v>
      </c>
      <c r="K224" s="24">
        <f>ROUND(RDG!J108,2)</f>
        <v>4542644.16</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aca="true" t="shared" si="8" ref="H225:H230">J225/100*F225+2*K225/100*F225</f>
        <v>48848308.006400004</v>
      </c>
      <c r="I225" s="4">
        <f aca="true" t="shared" si="9" ref="I225:I230">ABS(ROUND(J225,0)-J225)+ABS(ROUND(K225,0)-K225)</f>
        <v>0.43999999947845936</v>
      </c>
      <c r="J225" s="24">
        <f>ROUND(RDG!I109,2)</f>
        <v>2331432.76</v>
      </c>
      <c r="K225" s="24">
        <f>ROUND(RDG!J109,2)</f>
        <v>9737923.8</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8"/>
        <v>49066380.81000001</v>
      </c>
      <c r="I226" s="4">
        <f t="shared" si="9"/>
        <v>0.43999999947845936</v>
      </c>
      <c r="J226" s="24">
        <f>ROUND(RDG!I111,2)</f>
        <v>2331432.76</v>
      </c>
      <c r="K226" s="24">
        <f>ROUND(RDG!J111,2)</f>
        <v>9737923.8</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8"/>
        <v>49284453.6136</v>
      </c>
      <c r="I227" s="4">
        <f t="shared" si="9"/>
        <v>0.43999999947845936</v>
      </c>
      <c r="J227" s="24">
        <f>ROUND(RDG!I112,2)</f>
        <v>2331432.76</v>
      </c>
      <c r="K227" s="24">
        <f>ROUND(RDG!J112,2)</f>
        <v>9737923.8</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0</v>
      </c>
      <c r="I241" s="4">
        <f t="shared" si="11"/>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0</v>
      </c>
      <c r="I242" s="4">
        <f t="shared" si="11"/>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0</v>
      </c>
      <c r="I243" s="4">
        <f t="shared" si="11"/>
        <v>0</v>
      </c>
      <c r="J243" s="24">
        <f>ROUND(Dodatni!I26,2)</f>
        <v>0</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0</v>
      </c>
      <c r="I252" s="4">
        <f t="shared" si="11"/>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0</v>
      </c>
      <c r="I253" s="4">
        <f t="shared" si="11"/>
        <v>0</v>
      </c>
      <c r="J253" s="24">
        <f>ROUND(Dodatni!I37,2)</f>
        <v>0</v>
      </c>
      <c r="K253" s="24">
        <f>ROUND(Dodatni!J37,2)</f>
        <v>0</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0</v>
      </c>
      <c r="I257" s="4">
        <f t="shared" si="11"/>
        <v>0</v>
      </c>
      <c r="J257" s="24">
        <f>ROUND(Dodatni!I43,2)</f>
        <v>0</v>
      </c>
      <c r="K257" s="24">
        <f>ROUND(Dodatni!J43,2)</f>
        <v>0</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0</v>
      </c>
      <c r="I263" s="4">
        <f t="shared" si="11"/>
        <v>0</v>
      </c>
      <c r="J263" s="24">
        <f>ROUND(Dodatni!I50,2)</f>
        <v>0</v>
      </c>
      <c r="K263" s="24">
        <f>ROUND(Dodatni!J50,2)</f>
        <v>0</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0</v>
      </c>
      <c r="I264" s="4">
        <f t="shared" si="11"/>
        <v>0</v>
      </c>
      <c r="J264" s="24">
        <f>ROUND(Dodatni!I51,2)</f>
        <v>0</v>
      </c>
      <c r="K264" s="24">
        <f>ROUND(Dodatni!J51,2)</f>
        <v>0</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0</v>
      </c>
      <c r="I268" s="4">
        <f t="shared" si="11"/>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0</v>
      </c>
      <c r="I270" s="4">
        <f t="shared" si="11"/>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0</v>
      </c>
      <c r="I271" s="4">
        <f t="shared" si="11"/>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0</v>
      </c>
      <c r="I273" s="4">
        <f t="shared" si="11"/>
        <v>0</v>
      </c>
      <c r="J273" s="24">
        <f>ROUND(Dodatni!I60,2)</f>
        <v>0</v>
      </c>
      <c r="K273" s="24">
        <f>ROUND(Dodatni!J60,2)</f>
        <v>0</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0</v>
      </c>
      <c r="I274" s="4">
        <f t="shared" si="11"/>
        <v>0</v>
      </c>
      <c r="J274" s="24">
        <f>ROUND(Dodatni!I61,2)</f>
        <v>0</v>
      </c>
      <c r="K274" s="24">
        <f>ROUND(Dodatni!J61,2)</f>
        <v>0</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0</v>
      </c>
      <c r="I275" s="4">
        <f t="shared" si="11"/>
        <v>0</v>
      </c>
      <c r="J275" s="24">
        <f>ROUND(Dodatni!I62,2)</f>
        <v>0</v>
      </c>
      <c r="K275" s="24">
        <f>ROUND(Dodatni!J62,2)</f>
        <v>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0</v>
      </c>
      <c r="I276" s="4">
        <f t="shared" si="11"/>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0</v>
      </c>
      <c r="I278" s="4">
        <f t="shared" si="11"/>
        <v>0</v>
      </c>
      <c r="J278" s="24">
        <f>ROUND(Dodatni!I65,2)</f>
        <v>0</v>
      </c>
      <c r="K278" s="24">
        <f>ROUND(Dodatni!J65,2)</f>
        <v>0</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0</v>
      </c>
      <c r="I279" s="4">
        <f t="shared" si="11"/>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0</v>
      </c>
      <c r="I285" s="4">
        <f t="shared" si="11"/>
        <v>0</v>
      </c>
      <c r="J285" s="24">
        <f>ROUND(Dodatni!I73,2)</f>
        <v>0</v>
      </c>
      <c r="K285" s="24">
        <f>ROUND(Dodatni!J73,2)</f>
        <v>0</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0</v>
      </c>
      <c r="I288" s="4">
        <f>ABS(ROUND(J288,0)-J288)+ABS(ROUND(K288,0)-K288)</f>
        <v>0</v>
      </c>
      <c r="J288" s="24">
        <f>ROUND(Dodatni!I76,2)</f>
        <v>0</v>
      </c>
      <c r="K288" s="24">
        <f>ROUND(Dodatni!J76,2)</f>
        <v>0</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0</v>
      </c>
      <c r="I289" s="4">
        <f>ABS(ROUND(J289,0)-J289)+ABS(ROUND(K289,0)-K289)</f>
        <v>0</v>
      </c>
      <c r="J289" s="24">
        <f>ROUND(Dodatni!I78,2)</f>
        <v>0</v>
      </c>
      <c r="K289" s="24">
        <f>ROUND(Dodatni!J78,2)</f>
        <v>0</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0</v>
      </c>
      <c r="I291" s="4">
        <f t="shared" si="13"/>
        <v>0</v>
      </c>
      <c r="J291" s="24">
        <f>ROUND(Dodatni!I80,2)</f>
        <v>0</v>
      </c>
      <c r="K291" s="24">
        <f>ROUND(Dodatni!J80,2)</f>
        <v>0</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0</v>
      </c>
      <c r="I292" s="4">
        <f t="shared" si="13"/>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0</v>
      </c>
      <c r="I295" s="4">
        <f t="shared" si="13"/>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0</v>
      </c>
      <c r="I298" s="4">
        <f t="shared" si="13"/>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430993.67730000004</v>
      </c>
      <c r="I349" s="4">
        <f>ABS(ROUND(J349,0)-J349)+ABS(ROUND(K349,0)-K349)</f>
        <v>0.2999999988824129</v>
      </c>
      <c r="J349" s="24">
        <f>ROUND(NT_D!I9,2)</f>
        <v>11149164.11</v>
      </c>
      <c r="K349" s="24">
        <f>ROUND(NT_D!J9,2)</f>
        <v>15975101.81</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1789.1446</v>
      </c>
      <c r="I350" s="4">
        <f>ABS(ROUND(J350,0)-J350)+ABS(ROUND(K350,0)-K350)</f>
        <v>0.43000000000029104</v>
      </c>
      <c r="J350" s="24">
        <f>ROUND(NT_D!I10,2)</f>
        <v>30105.91</v>
      </c>
      <c r="K350" s="24">
        <f>ROUND(NT_D!J10,2)</f>
        <v>29675.66</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949.2795</v>
      </c>
      <c r="I351" s="4">
        <f aca="true" t="shared" si="17" ref="I351:I390">ABS(ROUND(J351,0)-J351)+ABS(ROUND(K351,0)-K351)</f>
        <v>0.4499999999998181</v>
      </c>
      <c r="J351" s="24">
        <f>ROUND(NT_D!I11,2)</f>
        <v>23598.25</v>
      </c>
      <c r="K351" s="24">
        <f>ROUND(NT_D!J11,2)</f>
        <v>4022.2</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109561.2444</v>
      </c>
      <c r="I352" s="4">
        <f t="shared" si="17"/>
        <v>0.7900000000372529</v>
      </c>
      <c r="J352" s="24">
        <f>ROUND(NT_D!I12,2)</f>
        <v>682352.51</v>
      </c>
      <c r="K352" s="24">
        <f>ROUND(NT_D!J12,2)</f>
        <v>1028339.3</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6009.087</v>
      </c>
      <c r="I353" s="4">
        <f t="shared" si="17"/>
        <v>0.4500000000007276</v>
      </c>
      <c r="J353" s="24">
        <f>ROUND(NT_D!I13,2)</f>
        <v>5225.16</v>
      </c>
      <c r="K353" s="24">
        <f>ROUND(NT_D!J13,2)</f>
        <v>57478.29</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2764780.8276</v>
      </c>
      <c r="I354" s="4">
        <f t="shared" si="17"/>
        <v>0.3200000021606684</v>
      </c>
      <c r="J354" s="24">
        <f>ROUND(NT_D!I14,2)</f>
        <v>11890445.94</v>
      </c>
      <c r="K354" s="24">
        <f>ROUND(NT_D!J14,2)</f>
        <v>17094617.26</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-1213924.3067</v>
      </c>
      <c r="I355" s="4">
        <f t="shared" si="17"/>
        <v>0.30999999959021807</v>
      </c>
      <c r="J355" s="24">
        <f>ROUND(NT_D!I15,2)</f>
        <v>-4921189.73</v>
      </c>
      <c r="K355" s="24">
        <f>ROUND(NT_D!J15,2)</f>
        <v>-6210293.04</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-136373.9656</v>
      </c>
      <c r="I356" s="4">
        <f t="shared" si="17"/>
        <v>0.8600000000442378</v>
      </c>
      <c r="J356" s="24">
        <f>ROUND(NT_D!I16,2)</f>
        <v>-458587.43</v>
      </c>
      <c r="K356" s="24">
        <f>ROUND(NT_D!J16,2)</f>
        <v>-623043.57</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-15582.528</v>
      </c>
      <c r="I357" s="4">
        <f t="shared" si="17"/>
        <v>0.5499999999956344</v>
      </c>
      <c r="J357" s="24">
        <f>ROUND(NT_D!I17,2)</f>
        <v>-42616.1</v>
      </c>
      <c r="K357" s="24">
        <f>ROUND(NT_D!J17,2)</f>
        <v>-65261.55</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-79190.40500000001</v>
      </c>
      <c r="I358" s="4">
        <f t="shared" si="17"/>
        <v>0.48999999997613486</v>
      </c>
      <c r="J358" s="24">
        <f>ROUND(NT_D!I18,2)</f>
        <v>-94767.01</v>
      </c>
      <c r="K358" s="24">
        <f>ROUND(NT_D!J18,2)</f>
        <v>-348568.52</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-598271.2428</v>
      </c>
      <c r="I360" s="4">
        <f t="shared" si="17"/>
        <v>0.35000000009313226</v>
      </c>
      <c r="J360" s="24">
        <f>ROUND(NT_D!I20,2)</f>
        <v>-1280467.01</v>
      </c>
      <c r="K360" s="24">
        <f>ROUND(NT_D!J20,2)</f>
        <v>-1852563.34</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-3249621.3515999997</v>
      </c>
      <c r="I361" s="4">
        <f t="shared" si="17"/>
        <v>0.2999999998137355</v>
      </c>
      <c r="J361" s="24">
        <f>ROUND(NT_D!I21,2)</f>
        <v>-6797627.28</v>
      </c>
      <c r="K361" s="24">
        <f>ROUND(NT_D!J21,2)</f>
        <v>-9099730.02</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2951563.0396000003</v>
      </c>
      <c r="I362" s="4">
        <f t="shared" si="17"/>
        <v>0.5800000000745058</v>
      </c>
      <c r="J362" s="24">
        <f>ROUND(NT_D!I22,2)</f>
        <v>5092818.66</v>
      </c>
      <c r="K362" s="24">
        <f>ROUND(NT_D!J22,2)</f>
        <v>7994887.24</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37213.14</v>
      </c>
      <c r="I363" s="4">
        <f t="shared" si="17"/>
        <v>0.4000000000014552</v>
      </c>
      <c r="J363" s="24">
        <f>ROUND(NT_D!I24,2)</f>
        <v>48087.6</v>
      </c>
      <c r="K363" s="24">
        <f>ROUND(NT_D!J24,2)</f>
        <v>100000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12173.815599999998</v>
      </c>
      <c r="I365" s="4">
        <f t="shared" si="17"/>
        <v>0.5399999999990541</v>
      </c>
      <c r="J365" s="24">
        <f>ROUND(NT_D!I26,2)</f>
        <v>9420.4</v>
      </c>
      <c r="K365" s="24">
        <f>ROUND(NT_D!J26,2)</f>
        <v>31095.14</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265616.60939999996</v>
      </c>
      <c r="I366" s="4">
        <f t="shared" si="17"/>
        <v>0.6499999999650754</v>
      </c>
      <c r="J366" s="24">
        <f>ROUND(NT_D!I27,2)</f>
        <v>449497.51</v>
      </c>
      <c r="K366" s="24">
        <f>ROUND(NT_D!J27,2)</f>
        <v>513075.16</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3416251.5489</v>
      </c>
      <c r="I367" s="4">
        <f t="shared" si="17"/>
        <v>0.6300000003539026</v>
      </c>
      <c r="J367" s="24">
        <f>ROUND(NT_D!I28,2)</f>
        <v>1679814.19</v>
      </c>
      <c r="K367" s="24">
        <f>ROUND(NT_D!J28,2)</f>
        <v>8150228.56</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4152879.6582</v>
      </c>
      <c r="I369" s="4">
        <f t="shared" si="17"/>
        <v>0.44000000040978193</v>
      </c>
      <c r="J369" s="24">
        <f>ROUND(NT_D!I30,2)</f>
        <v>2186819.7</v>
      </c>
      <c r="K369" s="24">
        <f>ROUND(NT_D!J30,2)</f>
        <v>8794398.86</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-7515681.3556</v>
      </c>
      <c r="I370" s="4">
        <f t="shared" si="17"/>
        <v>0.009999999776482582</v>
      </c>
      <c r="J370" s="24">
        <f>ROUND(NT_D!I31,2)</f>
        <v>-6559624</v>
      </c>
      <c r="K370" s="24">
        <f>ROUND(NT_D!J31,2)</f>
        <v>-13801281.99</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-5853520.713599999</v>
      </c>
      <c r="I372" s="4">
        <f t="shared" si="17"/>
        <v>0.6299999998882413</v>
      </c>
      <c r="J372" s="24">
        <f>ROUND(NT_D!I33,2)</f>
        <v>-2593384.3</v>
      </c>
      <c r="K372" s="24">
        <f>ROUND(NT_D!J33,2)</f>
        <v>-10898142.67</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-15809001.557400001</v>
      </c>
      <c r="I375" s="4">
        <f t="shared" si="17"/>
        <v>0.6400000005960464</v>
      </c>
      <c r="J375" s="24">
        <f>ROUND(NT_D!I36,2)</f>
        <v>-9153008.3</v>
      </c>
      <c r="K375" s="24">
        <f>ROUND(NT_D!J36,2)</f>
        <v>-24699424.66</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-10857347.256000001</v>
      </c>
      <c r="I376" s="4">
        <f t="shared" si="17"/>
        <v>0.599999999627471</v>
      </c>
      <c r="J376" s="24">
        <f>ROUND(NT_D!I37,2)</f>
        <v>-6966188.6</v>
      </c>
      <c r="K376" s="24">
        <f>ROUND(NT_D!J37,2)</f>
        <v>-15905025.8</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6611440.636600001</v>
      </c>
      <c r="I379" s="4">
        <f t="shared" si="17"/>
        <v>0.18999999947845936</v>
      </c>
      <c r="J379" s="24">
        <f>ROUND(NT_D!I41,2)</f>
        <v>1327228.08</v>
      </c>
      <c r="K379" s="24">
        <f>ROUND(NT_D!J41,2)</f>
        <v>9999999.89</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7037985.1938000005</v>
      </c>
      <c r="I381" s="4">
        <f t="shared" si="17"/>
        <v>0.18999999947845936</v>
      </c>
      <c r="J381" s="24">
        <f>ROUND(NT_D!I43,2)</f>
        <v>1327228.08</v>
      </c>
      <c r="K381" s="24">
        <f>ROUND(NT_D!J43,2)</f>
        <v>9999999.89</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-1016469.8684</v>
      </c>
      <c r="I382" s="4">
        <f t="shared" si="17"/>
        <v>0.3800000000919681</v>
      </c>
      <c r="J382" s="24">
        <f>ROUND(NT_D!I44,2)</f>
        <v>-228959.98</v>
      </c>
      <c r="K382" s="24">
        <f>ROUND(NT_D!J44,2)</f>
        <v>-1380328.64</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-1830820.0365</v>
      </c>
      <c r="I383" s="4">
        <f t="shared" si="17"/>
        <v>0.34000000008381903</v>
      </c>
      <c r="J383" s="24">
        <f>ROUND(NT_D!I45,2)</f>
        <v>-1404174.93</v>
      </c>
      <c r="K383" s="24">
        <f>ROUND(NT_D!J45,2)</f>
        <v>-1913369.73</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-42311.0725</v>
      </c>
      <c r="I385" s="4">
        <f t="shared" si="17"/>
        <v>0.8300000000017462</v>
      </c>
      <c r="J385" s="24">
        <f>ROUND(NT_D!I47,2)</f>
        <v>-34827.53</v>
      </c>
      <c r="K385" s="24">
        <f>ROUND(NT_D!J47,2)</f>
        <v>-39763.36</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-3250605.501</v>
      </c>
      <c r="I387" s="4">
        <f t="shared" si="17"/>
        <v>0.7099999999627471</v>
      </c>
      <c r="J387" s="24">
        <f>ROUND(NT_D!I49,2)</f>
        <v>-1667962.44</v>
      </c>
      <c r="K387" s="24">
        <f>ROUND(NT_D!J49,2)</f>
        <v>-3333461.73</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5196936.784000001</v>
      </c>
      <c r="I388" s="4">
        <f t="shared" si="17"/>
        <v>0.5200000001350418</v>
      </c>
      <c r="J388" s="24">
        <f>ROUND(NT_D!I50,2)</f>
        <v>-340734.36</v>
      </c>
      <c r="K388" s="24">
        <f>ROUND(NT_D!J50,2)</f>
        <v>6666538.16</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-1974548.1419999998</v>
      </c>
      <c r="I390" s="4">
        <f t="shared" si="17"/>
        <v>0.6999999997206032</v>
      </c>
      <c r="J390" s="24">
        <f>ROUND(NT_D!I52,2)</f>
        <v>-2214104.3</v>
      </c>
      <c r="K390" s="24">
        <f>ROUND(NT_D!J52,2)</f>
        <v>-1243600.4</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3493020.8834000006</v>
      </c>
      <c r="I391" s="4">
        <f>ABS(ROUND(J391,0)-J391)+ABS(ROUND(K391,0)-K391)</f>
        <v>0.6999999999534339</v>
      </c>
      <c r="J391" s="24">
        <f>ROUND(NT_D!I53,2)</f>
        <v>4183837.66</v>
      </c>
      <c r="K391" s="24">
        <f>ROUND(NT_D!J53,2)</f>
        <v>1969733.36</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1505679.6832</v>
      </c>
      <c r="I392" s="4">
        <f>ABS(ROUND(J392,0)-J392)+ABS(ROUND(K392,0)-K392)</f>
        <v>0.4000000001396984</v>
      </c>
      <c r="J392" s="24">
        <f>ROUND(NT_D!I54,2)</f>
        <v>1969733.36</v>
      </c>
      <c r="K392" s="24">
        <f>ROUND(NT_D!J54,2)</f>
        <v>726132.96</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J393/100*F393+2*K393/100*F393+3*L393/100+4*M393/100+5*N393/100+6*O393/100+7*P393/100+8*Q393/100+9*R393/100+10*S393/100+11*T393/100+12*U393/100+13*V393/100+14*W393/100+15*X393/100+16*Y393/100+17*Z393/100+18*AA393/100</f>
        <v>10193798.5508</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2.219999998458661</v>
      </c>
      <c r="J393" s="24">
        <f>ROUND(PK!I10,2)</f>
        <v>14165541.18</v>
      </c>
      <c r="K393" s="24">
        <f>ROUND(PK!J10,2)</f>
        <v>11892537.13</v>
      </c>
      <c r="L393" s="24">
        <f>ROUND(PK!K10,2)</f>
        <v>75840.32</v>
      </c>
      <c r="M393" s="24">
        <f>ROUND(PK!L10,2)</f>
        <v>158026.41</v>
      </c>
      <c r="N393" s="24">
        <f>ROUND(PK!M10,2)</f>
        <v>158026.41</v>
      </c>
      <c r="O393" s="24">
        <f>ROUND(PK!N10,2)</f>
        <v>0</v>
      </c>
      <c r="P393" s="24">
        <f>ROUND(PK!O10,2)</f>
        <v>0</v>
      </c>
      <c r="Q393" s="24">
        <f>ROUND(PK!P10,2)</f>
        <v>0</v>
      </c>
      <c r="R393" s="24">
        <f>ROUND(PK!Q10,2)</f>
        <v>-1663640.01</v>
      </c>
      <c r="S393" s="24">
        <f>ROUND(PK!R10,2)</f>
        <v>0</v>
      </c>
      <c r="T393" s="24">
        <f>ROUND(PK!S10,2)</f>
        <v>0</v>
      </c>
      <c r="U393" s="24">
        <f>ROUND(PK!T10,2)</f>
        <v>0</v>
      </c>
      <c r="V393" s="24">
        <f>ROUND(PK!U10,2)</f>
        <v>0</v>
      </c>
      <c r="W393" s="24">
        <f>ROUND(PK!V10,2)</f>
        <v>3390891</v>
      </c>
      <c r="X393" s="24">
        <f>ROUND(PK!W10,2)</f>
        <v>0</v>
      </c>
      <c r="Y393" s="24">
        <f>ROUND(PK!X10,2)</f>
        <v>27861169.62</v>
      </c>
      <c r="Z393" s="24">
        <f>ROUND(PK!Y10,2)</f>
        <v>0</v>
      </c>
      <c r="AA393" s="24">
        <f>ROUND(PK!Z10,2)</f>
        <v>27861169.62</v>
      </c>
      <c r="AB393" s="24"/>
      <c r="AC393" s="24"/>
      <c r="AD393" s="24"/>
      <c r="AE393" s="24"/>
      <c r="AF393" s="24">
        <v>0</v>
      </c>
    </row>
    <row r="394" spans="4:32" ht="12.75">
      <c r="D394" s="4" t="s">
        <v>1708</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11332317.014</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2.219999998458661</v>
      </c>
      <c r="J396" s="24">
        <f>ROUND(PK!I13,2)</f>
        <v>14165541.18</v>
      </c>
      <c r="K396" s="24">
        <f>ROUND(PK!J13,2)</f>
        <v>11892537.13</v>
      </c>
      <c r="L396" s="24">
        <f>ROUND(PK!K13,2)</f>
        <v>75840.32</v>
      </c>
      <c r="M396" s="24">
        <f>ROUND(PK!L13,2)</f>
        <v>158026.41</v>
      </c>
      <c r="N396" s="24">
        <f>ROUND(PK!M13,2)</f>
        <v>158026.41</v>
      </c>
      <c r="O396" s="24">
        <f>ROUND(PK!N13,2)</f>
        <v>0</v>
      </c>
      <c r="P396" s="24">
        <f>ROUND(PK!O13,2)</f>
        <v>0</v>
      </c>
      <c r="Q396" s="24">
        <f>ROUND(PK!P13,2)</f>
        <v>0</v>
      </c>
      <c r="R396" s="24">
        <f>ROUND(PK!Q13,2)</f>
        <v>-1663640.01</v>
      </c>
      <c r="S396" s="24">
        <f>ROUND(PK!R13,2)</f>
        <v>0</v>
      </c>
      <c r="T396" s="24">
        <f>ROUND(PK!S13,2)</f>
        <v>0</v>
      </c>
      <c r="U396" s="24">
        <f>ROUND(PK!T13,2)</f>
        <v>0</v>
      </c>
      <c r="V396" s="24">
        <f>ROUND(PK!U13,2)</f>
        <v>0</v>
      </c>
      <c r="W396" s="24">
        <f>ROUND(PK!V13,2)</f>
        <v>3390891</v>
      </c>
      <c r="X396" s="24">
        <f>ROUND(PK!W13,2)</f>
        <v>0</v>
      </c>
      <c r="Y396" s="24">
        <f>ROUND(PK!X13,2)</f>
        <v>27861169.62</v>
      </c>
      <c r="Z396" s="24">
        <f>ROUND(PK!Y13,2)</f>
        <v>0</v>
      </c>
      <c r="AA396" s="24">
        <f>ROUND(PK!Z13,2)</f>
        <v>27861169.62</v>
      </c>
      <c r="AB396" s="24"/>
      <c r="AC396" s="24"/>
      <c r="AD396" s="24"/>
      <c r="AE396" s="24"/>
      <c r="AF396" s="24">
        <v>0</v>
      </c>
    </row>
    <row r="397" spans="4:32" ht="12.75">
      <c r="D397" s="4" t="s">
        <v>1708</v>
      </c>
      <c r="E397" s="4">
        <v>6</v>
      </c>
      <c r="F397" s="26">
        <f>PK!G14</f>
        <v>5</v>
      </c>
      <c r="G397" s="4">
        <f>IF(PK!H14&lt;&gt;"",PK!H14,"")</f>
      </c>
      <c r="H397" s="250">
        <f t="shared" si="18"/>
        <v>1566285.0588000002</v>
      </c>
      <c r="I397" s="25">
        <f t="shared" si="19"/>
        <v>0.3600000003352761</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3196500.12</v>
      </c>
      <c r="Y397" s="24">
        <f>ROUND(PK!X14,2)</f>
        <v>3196500.12</v>
      </c>
      <c r="Z397" s="24">
        <f>ROUND(PK!Y14,2)</f>
        <v>0</v>
      </c>
      <c r="AA397" s="24">
        <f>ROUND(PK!Z14,2)</f>
        <v>3196500.12</v>
      </c>
      <c r="AB397" s="24"/>
      <c r="AC397" s="24"/>
      <c r="AD397" s="24"/>
      <c r="AE397" s="24"/>
      <c r="AF397" s="24">
        <v>0</v>
      </c>
    </row>
    <row r="398" spans="4:32" ht="12.75">
      <c r="D398" s="4" t="s">
        <v>1708</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8"/>
        <v>-371978.96479999996</v>
      </c>
      <c r="I400" s="25">
        <f t="shared" si="19"/>
        <v>1.0799999999580905</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-865067.36</v>
      </c>
      <c r="S400" s="24">
        <f>ROUND(PK!R17,2)</f>
        <v>0</v>
      </c>
      <c r="T400" s="24">
        <f>ROUND(PK!S17,2)</f>
        <v>0</v>
      </c>
      <c r="U400" s="24">
        <f>ROUND(PK!T17,2)</f>
        <v>0</v>
      </c>
      <c r="V400" s="24">
        <f>ROUND(PK!U17,2)</f>
        <v>0</v>
      </c>
      <c r="W400" s="24">
        <f>ROUND(PK!V17,2)</f>
        <v>0</v>
      </c>
      <c r="X400" s="24">
        <f>ROUND(PK!W17,2)</f>
        <v>0</v>
      </c>
      <c r="Y400" s="24">
        <f>ROUND(PK!X17,2)</f>
        <v>-865067.36</v>
      </c>
      <c r="Z400" s="24">
        <f>ROUND(PK!Y17,2)</f>
        <v>0</v>
      </c>
      <c r="AA400" s="24">
        <f>ROUND(PK!Z17,2)</f>
        <v>-865067.36</v>
      </c>
      <c r="AB400" s="24"/>
      <c r="AC400" s="24"/>
      <c r="AD400" s="24"/>
      <c r="AE400" s="24"/>
      <c r="AF400" s="24">
        <v>0</v>
      </c>
    </row>
    <row r="401" spans="4:32" ht="12.75">
      <c r="D401" s="4" t="s">
        <v>1708</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8"/>
        <v>224261.6448</v>
      </c>
      <c r="I405" s="25">
        <f t="shared" si="19"/>
        <v>1.3299999999767351</v>
      </c>
      <c r="J405" s="24">
        <f>ROUND(PK!I22,2)</f>
        <v>0</v>
      </c>
      <c r="K405" s="24">
        <f>ROUND(PK!J22,2)</f>
        <v>1852.52</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464896.11</v>
      </c>
      <c r="X405" s="24">
        <f>ROUND(PK!W22,2)</f>
        <v>0</v>
      </c>
      <c r="Y405" s="24">
        <f>ROUND(PK!X22,2)</f>
        <v>466748.63</v>
      </c>
      <c r="Z405" s="24">
        <f>ROUND(PK!Y22,2)</f>
        <v>0</v>
      </c>
      <c r="AA405" s="24">
        <f>ROUND(PK!Z22,2)</f>
        <v>466748.63</v>
      </c>
      <c r="AB405" s="24"/>
      <c r="AC405" s="24"/>
      <c r="AD405" s="24"/>
      <c r="AE405" s="24"/>
      <c r="AF405" s="24">
        <v>0</v>
      </c>
    </row>
    <row r="406" spans="4:32" ht="12.75">
      <c r="D406" s="4" t="s">
        <v>1708</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8"/>
        <v>-13582.7523</v>
      </c>
      <c r="I410" s="25">
        <f t="shared" si="19"/>
        <v>2.150000000001455</v>
      </c>
      <c r="J410" s="24">
        <f>ROUND(PK!I27,2)</f>
        <v>0</v>
      </c>
      <c r="K410" s="24">
        <f>ROUND(PK!J27,2)</f>
        <v>0</v>
      </c>
      <c r="L410" s="24">
        <f>ROUND(PK!K27,2)</f>
        <v>0</v>
      </c>
      <c r="M410" s="24">
        <f>ROUND(PK!L27,2)</f>
        <v>34827.57</v>
      </c>
      <c r="N410" s="24">
        <f>ROUND(PK!M27,2)</f>
        <v>34827.57</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-34827.57</v>
      </c>
      <c r="X410" s="24">
        <f>ROUND(PK!W27,2)</f>
        <v>0</v>
      </c>
      <c r="Y410" s="24">
        <f>ROUND(PK!X27,2)</f>
        <v>-34827.57</v>
      </c>
      <c r="Z410" s="24">
        <f>ROUND(PK!Y27,2)</f>
        <v>0</v>
      </c>
      <c r="AA410" s="24">
        <f>ROUND(PK!Z27,2)</f>
        <v>-34827.57</v>
      </c>
      <c r="AB410" s="24"/>
      <c r="AC410" s="24"/>
      <c r="AD410" s="24"/>
      <c r="AE410" s="24"/>
      <c r="AF410" s="24">
        <v>0</v>
      </c>
    </row>
    <row r="411" spans="4:32" ht="12.75">
      <c r="D411" s="4" t="s">
        <v>1708</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8"/>
        <v>-676607.7312</v>
      </c>
      <c r="I412" s="25">
        <f t="shared" si="19"/>
        <v>1.319999999832362</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-1409599.44</v>
      </c>
      <c r="X412" s="24">
        <f>ROUND(PK!W29,2)</f>
        <v>0</v>
      </c>
      <c r="Y412" s="24">
        <f>ROUND(PK!X29,2)</f>
        <v>-1409599.44</v>
      </c>
      <c r="Z412" s="24">
        <f>ROUND(PK!Y29,2)</f>
        <v>0</v>
      </c>
      <c r="AA412" s="24">
        <f>ROUND(PK!Z29,2)</f>
        <v>-1409599.44</v>
      </c>
      <c r="AB412" s="24"/>
      <c r="AC412" s="24"/>
      <c r="AD412" s="24"/>
      <c r="AE412" s="24"/>
      <c r="AF412" s="24">
        <v>0</v>
      </c>
    </row>
    <row r="413" spans="4:32" ht="12.75">
      <c r="D413" s="4" t="s">
        <v>1708</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8"/>
        <v>19651224.911699995</v>
      </c>
      <c r="I416" s="25">
        <f t="shared" si="19"/>
        <v>1.4799999996321276</v>
      </c>
      <c r="J416" s="24">
        <f>ROUND(PK!I33,2)</f>
        <v>14165541.18</v>
      </c>
      <c r="K416" s="24">
        <f>ROUND(PK!J33,2)</f>
        <v>11894389.65</v>
      </c>
      <c r="L416" s="24">
        <f>ROUND(PK!K33,2)</f>
        <v>75840.32</v>
      </c>
      <c r="M416" s="24">
        <f>ROUND(PK!L33,2)</f>
        <v>192853.98</v>
      </c>
      <c r="N416" s="24">
        <f>ROUND(PK!M33,2)</f>
        <v>192853.98</v>
      </c>
      <c r="O416" s="24">
        <f>ROUND(PK!N33,2)</f>
        <v>0</v>
      </c>
      <c r="P416" s="24">
        <f>ROUND(PK!O33,2)</f>
        <v>0</v>
      </c>
      <c r="Q416" s="24">
        <f>ROUND(PK!P33,2)</f>
        <v>0</v>
      </c>
      <c r="R416" s="24">
        <f>ROUND(PK!Q33,2)</f>
        <v>-2528707.37</v>
      </c>
      <c r="S416" s="24">
        <f>ROUND(PK!R33,2)</f>
        <v>0</v>
      </c>
      <c r="T416" s="24">
        <f>ROUND(PK!S33,2)</f>
        <v>0</v>
      </c>
      <c r="U416" s="24">
        <f>ROUND(PK!T33,2)</f>
        <v>0</v>
      </c>
      <c r="V416" s="24">
        <f>ROUND(PK!U33,2)</f>
        <v>0</v>
      </c>
      <c r="W416" s="24">
        <f>ROUND(PK!V33,2)</f>
        <v>2411360.1</v>
      </c>
      <c r="X416" s="24">
        <f>ROUND(PK!W33,2)</f>
        <v>3196500.12</v>
      </c>
      <c r="Y416" s="24">
        <f>ROUND(PK!X33,2)</f>
        <v>29214924</v>
      </c>
      <c r="Z416" s="24">
        <f>ROUND(PK!Y33,2)</f>
        <v>0</v>
      </c>
      <c r="AA416" s="24">
        <f>ROUND(PK!Z33,2)</f>
        <v>29214924</v>
      </c>
      <c r="AB416" s="24"/>
      <c r="AC416" s="24"/>
      <c r="AD416" s="24"/>
      <c r="AE416" s="24"/>
      <c r="AF416" s="24">
        <v>0</v>
      </c>
    </row>
    <row r="417" spans="4:32" ht="12.75">
      <c r="D417" s="4" t="s">
        <v>1708</v>
      </c>
      <c r="E417" s="4">
        <v>6</v>
      </c>
      <c r="F417" s="26">
        <f>PK!G35</f>
        <v>25</v>
      </c>
      <c r="G417" s="4">
        <f>IF(PK!H35&lt;&gt;"",PK!H35,"")</f>
      </c>
      <c r="H417" s="250">
        <f t="shared" si="18"/>
        <v>-147272.7152</v>
      </c>
      <c r="I417" s="25">
        <f t="shared" si="19"/>
        <v>1.4900000000093314</v>
      </c>
      <c r="J417" s="24">
        <f>ROUND(PK!I35,2)</f>
        <v>0</v>
      </c>
      <c r="K417" s="24">
        <f>ROUND(PK!J35,2)</f>
        <v>1852.52</v>
      </c>
      <c r="L417" s="24">
        <f>ROUND(PK!K35,2)</f>
        <v>0</v>
      </c>
      <c r="M417" s="24">
        <f>ROUND(PK!L35,2)</f>
        <v>0</v>
      </c>
      <c r="N417" s="24">
        <f>ROUND(PK!M35,2)</f>
        <v>0</v>
      </c>
      <c r="O417" s="24">
        <f>ROUND(PK!N35,2)</f>
        <v>0</v>
      </c>
      <c r="P417" s="24">
        <f>ROUND(PK!O35,2)</f>
        <v>0</v>
      </c>
      <c r="Q417" s="24">
        <f>ROUND(PK!P35,2)</f>
        <v>0</v>
      </c>
      <c r="R417" s="24">
        <f>ROUND(PK!Q35,2)</f>
        <v>-865067.36</v>
      </c>
      <c r="S417" s="24">
        <f>ROUND(PK!R35,2)</f>
        <v>0</v>
      </c>
      <c r="T417" s="24">
        <f>ROUND(PK!S35,2)</f>
        <v>0</v>
      </c>
      <c r="U417" s="24">
        <f>ROUND(PK!T35,2)</f>
        <v>0</v>
      </c>
      <c r="V417" s="24">
        <f>ROUND(PK!U35,2)</f>
        <v>0</v>
      </c>
      <c r="W417" s="24">
        <f>ROUND(PK!V35,2)</f>
        <v>464896.11</v>
      </c>
      <c r="X417" s="24">
        <f>ROUND(PK!W35,2)</f>
        <v>0</v>
      </c>
      <c r="Y417" s="24">
        <f>ROUND(PK!X35,2)</f>
        <v>-398318.73</v>
      </c>
      <c r="Z417" s="24">
        <f>ROUND(PK!Y35,2)</f>
        <v>0</v>
      </c>
      <c r="AA417" s="24">
        <f>ROUND(PK!Z35,2)</f>
        <v>-398318.73</v>
      </c>
      <c r="AB417" s="24"/>
      <c r="AC417" s="24"/>
      <c r="AD417" s="24"/>
      <c r="AE417" s="24"/>
      <c r="AF417" s="24">
        <v>0</v>
      </c>
    </row>
    <row r="418" spans="4:32" ht="12.75">
      <c r="D418" s="4" t="s">
        <v>1708</v>
      </c>
      <c r="E418" s="4">
        <v>6</v>
      </c>
      <c r="F418" s="26">
        <f>PK!G36</f>
        <v>26</v>
      </c>
      <c r="G418" s="4">
        <f>IF(PK!H36&lt;&gt;"",PK!H36,"")</f>
      </c>
      <c r="H418" s="250">
        <f t="shared" si="18"/>
        <v>1419049.394</v>
      </c>
      <c r="I418" s="25">
        <f t="shared" si="19"/>
        <v>1.8500000003446075</v>
      </c>
      <c r="J418" s="24">
        <f>ROUND(PK!I36,2)</f>
        <v>0</v>
      </c>
      <c r="K418" s="24">
        <f>ROUND(PK!J36,2)</f>
        <v>1852.52</v>
      </c>
      <c r="L418" s="24">
        <f>ROUND(PK!K36,2)</f>
        <v>0</v>
      </c>
      <c r="M418" s="24">
        <f>ROUND(PK!L36,2)</f>
        <v>0</v>
      </c>
      <c r="N418" s="24">
        <f>ROUND(PK!M36,2)</f>
        <v>0</v>
      </c>
      <c r="O418" s="24">
        <f>ROUND(PK!N36,2)</f>
        <v>0</v>
      </c>
      <c r="P418" s="24">
        <f>ROUND(PK!O36,2)</f>
        <v>0</v>
      </c>
      <c r="Q418" s="24">
        <f>ROUND(PK!P36,2)</f>
        <v>0</v>
      </c>
      <c r="R418" s="24">
        <f>ROUND(PK!Q36,2)</f>
        <v>-865067.36</v>
      </c>
      <c r="S418" s="24">
        <f>ROUND(PK!R36,2)</f>
        <v>0</v>
      </c>
      <c r="T418" s="24">
        <f>ROUND(PK!S36,2)</f>
        <v>0</v>
      </c>
      <c r="U418" s="24">
        <f>ROUND(PK!T36,2)</f>
        <v>0</v>
      </c>
      <c r="V418" s="24">
        <f>ROUND(PK!U36,2)</f>
        <v>0</v>
      </c>
      <c r="W418" s="24">
        <f>ROUND(PK!V36,2)</f>
        <v>464896.11</v>
      </c>
      <c r="X418" s="24">
        <f>ROUND(PK!W36,2)</f>
        <v>3196500.12</v>
      </c>
      <c r="Y418" s="24">
        <f>ROUND(PK!X36,2)</f>
        <v>2798181.39</v>
      </c>
      <c r="Z418" s="24">
        <f>ROUND(PK!Y36,2)</f>
        <v>0</v>
      </c>
      <c r="AA418" s="24">
        <f>ROUND(PK!Z36,2)</f>
        <v>2798181.39</v>
      </c>
      <c r="AB418" s="24"/>
      <c r="AC418" s="24"/>
      <c r="AD418" s="24"/>
      <c r="AE418" s="24"/>
      <c r="AF418" s="24">
        <v>0</v>
      </c>
    </row>
    <row r="419" spans="4:32" ht="12.75">
      <c r="D419" s="4" t="s">
        <v>1708</v>
      </c>
      <c r="E419" s="4">
        <v>6</v>
      </c>
      <c r="F419" s="26">
        <f>PK!G37</f>
        <v>27</v>
      </c>
      <c r="G419" s="4">
        <f>IF(PK!H37&lt;&gt;"",PK!H37,"")</f>
      </c>
      <c r="H419" s="250">
        <f t="shared" si="18"/>
        <v>-690190.4835</v>
      </c>
      <c r="I419" s="25">
        <f t="shared" si="19"/>
        <v>0.8900000000285218</v>
      </c>
      <c r="J419" s="24">
        <f>ROUND(PK!I37,2)</f>
        <v>0</v>
      </c>
      <c r="K419" s="24">
        <f>ROUND(PK!J37,2)</f>
        <v>0</v>
      </c>
      <c r="L419" s="24">
        <f>ROUND(PK!K37,2)</f>
        <v>0</v>
      </c>
      <c r="M419" s="24">
        <f>ROUND(PK!L37,2)</f>
        <v>34827.57</v>
      </c>
      <c r="N419" s="24">
        <f>ROUND(PK!M37,2)</f>
        <v>34827.57</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-1444427.01</v>
      </c>
      <c r="X419" s="24">
        <f>ROUND(PK!W37,2)</f>
        <v>0</v>
      </c>
      <c r="Y419" s="24">
        <f>ROUND(PK!X37,2)</f>
        <v>-1444427.01</v>
      </c>
      <c r="Z419" s="24">
        <f>ROUND(PK!Y37,2)</f>
        <v>0</v>
      </c>
      <c r="AA419" s="24">
        <f>ROUND(PK!Z37,2)</f>
        <v>-1444427.01</v>
      </c>
      <c r="AB419" s="24"/>
      <c r="AC419" s="24"/>
      <c r="AD419" s="24"/>
      <c r="AE419" s="24"/>
      <c r="AF419" s="24">
        <v>0</v>
      </c>
    </row>
    <row r="420" spans="4:32" ht="12.75">
      <c r="D420" s="4" t="s">
        <v>1708</v>
      </c>
      <c r="E420" s="4">
        <v>6</v>
      </c>
      <c r="F420" s="26">
        <f>PK!G39</f>
        <v>28</v>
      </c>
      <c r="G420" s="4">
        <f>IF(PK!H39&lt;&gt;"",PK!H39,"")</f>
      </c>
      <c r="H420" s="250">
        <f t="shared" si="18"/>
        <v>21137432.7297</v>
      </c>
      <c r="I420" s="25">
        <f t="shared" si="19"/>
        <v>1.4799999991664663</v>
      </c>
      <c r="J420" s="24">
        <f>ROUND(PK!I39,2)</f>
        <v>14165541.18</v>
      </c>
      <c r="K420" s="24">
        <f>ROUND(PK!J39,2)</f>
        <v>11894389.65</v>
      </c>
      <c r="L420" s="24">
        <f>ROUND(PK!K39,2)</f>
        <v>75840.32</v>
      </c>
      <c r="M420" s="24">
        <f>ROUND(PK!L39,2)</f>
        <v>192853.98</v>
      </c>
      <c r="N420" s="24">
        <f>ROUND(PK!M39,2)</f>
        <v>192853.98</v>
      </c>
      <c r="O420" s="24">
        <f>ROUND(PK!N39,2)</f>
        <v>0</v>
      </c>
      <c r="P420" s="24">
        <f>ROUND(PK!O39,2)</f>
        <v>0</v>
      </c>
      <c r="Q420" s="24">
        <f>ROUND(PK!P39,2)</f>
        <v>0</v>
      </c>
      <c r="R420" s="24">
        <f>ROUND(PK!Q39,2)</f>
        <v>-2528707.37</v>
      </c>
      <c r="S420" s="24">
        <f>ROUND(PK!R39,2)</f>
        <v>0</v>
      </c>
      <c r="T420" s="24">
        <f>ROUND(PK!S39,2)</f>
        <v>0</v>
      </c>
      <c r="U420" s="24">
        <f>ROUND(PK!T39,2)</f>
        <v>0</v>
      </c>
      <c r="V420" s="24">
        <f>ROUND(PK!U39,2)</f>
        <v>0</v>
      </c>
      <c r="W420" s="24">
        <f>ROUND(PK!V39,2)</f>
        <v>5607860.22</v>
      </c>
      <c r="X420" s="24">
        <f>ROUND(PK!W39,2)</f>
        <v>0</v>
      </c>
      <c r="Y420" s="24">
        <f>ROUND(PK!X39,2)</f>
        <v>29214924</v>
      </c>
      <c r="Z420" s="24">
        <f>ROUND(PK!Y39,2)</f>
        <v>0</v>
      </c>
      <c r="AA420" s="24">
        <f>ROUND(PK!Z39,2)</f>
        <v>29214924</v>
      </c>
      <c r="AB420" s="24"/>
      <c r="AC420" s="24"/>
      <c r="AD420" s="24"/>
      <c r="AE420" s="24"/>
      <c r="AF420" s="24">
        <v>0</v>
      </c>
    </row>
    <row r="421" spans="4:32" ht="12.75">
      <c r="D421" s="4" t="s">
        <v>1708</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8"/>
        <v>22276062.3441</v>
      </c>
      <c r="I423" s="25">
        <f t="shared" si="19"/>
        <v>1.4799999991664663</v>
      </c>
      <c r="J423" s="24">
        <f>ROUND(PK!I42,2)</f>
        <v>14165541.18</v>
      </c>
      <c r="K423" s="24">
        <f>ROUND(PK!J42,2)</f>
        <v>11894389.65</v>
      </c>
      <c r="L423" s="24">
        <f>ROUND(PK!K42,2)</f>
        <v>75840.32</v>
      </c>
      <c r="M423" s="24">
        <f>ROUND(PK!L42,2)</f>
        <v>192853.98</v>
      </c>
      <c r="N423" s="24">
        <f>ROUND(PK!M42,2)</f>
        <v>192853.98</v>
      </c>
      <c r="O423" s="24">
        <f>ROUND(PK!N42,2)</f>
        <v>0</v>
      </c>
      <c r="P423" s="24">
        <f>ROUND(PK!O42,2)</f>
        <v>0</v>
      </c>
      <c r="Q423" s="24">
        <f>ROUND(PK!P42,2)</f>
        <v>0</v>
      </c>
      <c r="R423" s="24">
        <f>ROUND(PK!Q42,2)</f>
        <v>-2528707.37</v>
      </c>
      <c r="S423" s="24">
        <f>ROUND(PK!R42,2)</f>
        <v>0</v>
      </c>
      <c r="T423" s="24">
        <f>ROUND(PK!S42,2)</f>
        <v>0</v>
      </c>
      <c r="U423" s="24">
        <f>ROUND(PK!T42,2)</f>
        <v>0</v>
      </c>
      <c r="V423" s="24">
        <f>ROUND(PK!U42,2)</f>
        <v>0</v>
      </c>
      <c r="W423" s="24">
        <f>ROUND(PK!V42,2)</f>
        <v>5607860.22</v>
      </c>
      <c r="X423" s="24">
        <f>ROUND(PK!W42,2)</f>
        <v>0</v>
      </c>
      <c r="Y423" s="24">
        <f>ROUND(PK!X42,2)</f>
        <v>29214924</v>
      </c>
      <c r="Z423" s="24">
        <f>ROUND(PK!Y42,2)</f>
        <v>0</v>
      </c>
      <c r="AA423" s="24">
        <f>ROUND(PK!Z42,2)</f>
        <v>29214924</v>
      </c>
      <c r="AB423" s="24"/>
      <c r="AC423" s="24"/>
      <c r="AD423" s="24"/>
      <c r="AE423" s="24"/>
      <c r="AF423" s="24">
        <v>0</v>
      </c>
    </row>
    <row r="424" spans="4:32" ht="12.75">
      <c r="D424" s="4" t="s">
        <v>1708</v>
      </c>
      <c r="E424" s="4">
        <v>6</v>
      </c>
      <c r="F424" s="26">
        <f>PK!G43</f>
        <v>32</v>
      </c>
      <c r="G424" s="4">
        <f>IF(PK!H43&lt;&gt;"",PK!H43,"")</f>
      </c>
      <c r="H424" s="250">
        <f t="shared" si="18"/>
        <v>2545687.0236</v>
      </c>
      <c r="I424" s="25">
        <f t="shared" si="19"/>
        <v>1.0800000010058284</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5195279.64</v>
      </c>
      <c r="Y424" s="24">
        <f>ROUND(PK!X43,2)</f>
        <v>5195279.64</v>
      </c>
      <c r="Z424" s="24">
        <f>ROUND(PK!Y43,2)</f>
        <v>0</v>
      </c>
      <c r="AA424" s="24">
        <f>ROUND(PK!Z43,2)</f>
        <v>5195279.64</v>
      </c>
      <c r="AB424" s="24"/>
      <c r="AC424" s="24"/>
      <c r="AD424" s="24"/>
      <c r="AE424" s="24"/>
      <c r="AF424" s="24">
        <v>0</v>
      </c>
    </row>
    <row r="425" spans="4:32" ht="12.75">
      <c r="D425" s="4" t="s">
        <v>1708</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8"/>
        <v>1953336.9888</v>
      </c>
      <c r="I427" s="25">
        <f t="shared" si="19"/>
        <v>0.48000000044703484</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4542644.16</v>
      </c>
      <c r="S427" s="24">
        <f>ROUND(PK!R46,2)</f>
        <v>0</v>
      </c>
      <c r="T427" s="24">
        <f>ROUND(PK!S46,2)</f>
        <v>0</v>
      </c>
      <c r="U427" s="24">
        <f>ROUND(PK!T46,2)</f>
        <v>0</v>
      </c>
      <c r="V427" s="24">
        <f>ROUND(PK!U46,2)</f>
        <v>0</v>
      </c>
      <c r="W427" s="24">
        <f>ROUND(PK!V46,2)</f>
        <v>0</v>
      </c>
      <c r="X427" s="24">
        <f>ROUND(PK!W46,2)</f>
        <v>0</v>
      </c>
      <c r="Y427" s="24">
        <f>ROUND(PK!X46,2)</f>
        <v>4542644.16</v>
      </c>
      <c r="Z427" s="24">
        <f>ROUND(PK!Y46,2)</f>
        <v>0</v>
      </c>
      <c r="AA427" s="24">
        <f>ROUND(PK!Z46,2)</f>
        <v>4542644.16</v>
      </c>
      <c r="AB427" s="24"/>
      <c r="AC427" s="24"/>
      <c r="AD427" s="24"/>
      <c r="AE427" s="24"/>
      <c r="AF427" s="24">
        <v>0</v>
      </c>
    </row>
    <row r="428" spans="4:32" ht="12.75">
      <c r="D428" s="4" t="s">
        <v>1708</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8"/>
        <v>126516.0714</v>
      </c>
      <c r="I432" s="25">
        <f t="shared" si="19"/>
        <v>0.02999999998428393</v>
      </c>
      <c r="J432" s="24">
        <f>ROUND(PK!I51,2)</f>
        <v>0</v>
      </c>
      <c r="K432" s="24">
        <f>ROUND(PK!J51,2)</f>
        <v>110979.01</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110979.01</v>
      </c>
      <c r="Z432" s="24">
        <f>ROUND(PK!Y51,2)</f>
        <v>0</v>
      </c>
      <c r="AA432" s="24">
        <f>ROUND(PK!Z51,2)</f>
        <v>110979.01</v>
      </c>
      <c r="AB432" s="24"/>
      <c r="AC432" s="24"/>
      <c r="AD432" s="24"/>
      <c r="AE432" s="24"/>
      <c r="AF432" s="24">
        <v>0</v>
      </c>
    </row>
    <row r="433" spans="4:32" ht="12.75">
      <c r="D433" s="4" t="s">
        <v>1708</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8"/>
        <v>0.0756</v>
      </c>
      <c r="I434" s="25">
        <f t="shared" si="19"/>
        <v>0.36</v>
      </c>
      <c r="J434" s="24">
        <f>ROUND(PK!I53,2)</f>
        <v>-0.18</v>
      </c>
      <c r="K434" s="24">
        <f>ROUND(PK!J53,2)</f>
        <v>0.18</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46855.4697</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1.1499999999796273</v>
      </c>
      <c r="J437" s="24">
        <f>ROUND(PK!I56,2)</f>
        <v>0</v>
      </c>
      <c r="K437" s="24">
        <f>ROUND(PK!J56,2)</f>
        <v>0</v>
      </c>
      <c r="L437" s="24">
        <f>ROUND(PK!K56,2)</f>
        <v>0</v>
      </c>
      <c r="M437" s="24">
        <f>ROUND(PK!L56,2)</f>
        <v>-120142.23</v>
      </c>
      <c r="N437" s="24">
        <f>ROUND(PK!M56,2)</f>
        <v>-120142.23</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120142.23</v>
      </c>
      <c r="X437" s="24">
        <f>ROUND(PK!W56,2)</f>
        <v>0</v>
      </c>
      <c r="Y437" s="24">
        <f>ROUND(PK!X56,2)</f>
        <v>120142.23</v>
      </c>
      <c r="Z437" s="24">
        <f>ROUND(PK!Y56,2)</f>
        <v>0</v>
      </c>
      <c r="AA437" s="24">
        <f>ROUND(PK!Z56,2)</f>
        <v>120142.23</v>
      </c>
      <c r="AB437" s="24"/>
      <c r="AC437" s="24"/>
      <c r="AD437" s="24"/>
      <c r="AE437" s="24"/>
      <c r="AF437" s="24">
        <v>0</v>
      </c>
    </row>
    <row r="438" spans="4:32" ht="12.75">
      <c r="D438" s="4" t="s">
        <v>1708</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20"/>
        <v>-921607.632</v>
      </c>
      <c r="I439" s="25">
        <f t="shared" si="21"/>
        <v>0.3000000002793968</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-1920015.9</v>
      </c>
      <c r="X439" s="24">
        <f>ROUND(PK!W58,2)</f>
        <v>0</v>
      </c>
      <c r="Y439" s="24">
        <f>ROUND(PK!X58,2)</f>
        <v>-1920015.9</v>
      </c>
      <c r="Z439" s="24">
        <f>ROUND(PK!Y58,2)</f>
        <v>0</v>
      </c>
      <c r="AA439" s="24">
        <f>ROUND(PK!Z58,2)</f>
        <v>-1920015.9</v>
      </c>
      <c r="AB439" s="24"/>
      <c r="AC439" s="24"/>
      <c r="AD439" s="24"/>
      <c r="AE439" s="24"/>
      <c r="AF439" s="24">
        <v>0</v>
      </c>
    </row>
    <row r="440" spans="4:32" ht="12.75">
      <c r="D440" s="4" t="s">
        <v>1708</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20"/>
        <v>33642129.835599996</v>
      </c>
      <c r="I443" s="25">
        <f t="shared" si="21"/>
        <v>2.280000001832377</v>
      </c>
      <c r="J443" s="24">
        <f>ROUND(PK!I62,2)</f>
        <v>14165541</v>
      </c>
      <c r="K443" s="24">
        <f>ROUND(PK!J62,2)</f>
        <v>12005368.84</v>
      </c>
      <c r="L443" s="24">
        <f>ROUND(PK!K62,2)</f>
        <v>75840.32</v>
      </c>
      <c r="M443" s="24">
        <f>ROUND(PK!L62,2)</f>
        <v>72711.75</v>
      </c>
      <c r="N443" s="24">
        <f>ROUND(PK!M62,2)</f>
        <v>72711.75</v>
      </c>
      <c r="O443" s="24">
        <f>ROUND(PK!N62,2)</f>
        <v>0</v>
      </c>
      <c r="P443" s="24">
        <f>ROUND(PK!O62,2)</f>
        <v>0</v>
      </c>
      <c r="Q443" s="24">
        <f>ROUND(PK!P62,2)</f>
        <v>0</v>
      </c>
      <c r="R443" s="24">
        <f>ROUND(PK!Q62,2)</f>
        <v>2013936.79</v>
      </c>
      <c r="S443" s="24">
        <f>ROUND(PK!R62,2)</f>
        <v>0</v>
      </c>
      <c r="T443" s="24">
        <f>ROUND(PK!S62,2)</f>
        <v>0</v>
      </c>
      <c r="U443" s="24">
        <f>ROUND(PK!T62,2)</f>
        <v>0</v>
      </c>
      <c r="V443" s="24">
        <f>ROUND(PK!U62,2)</f>
        <v>0</v>
      </c>
      <c r="W443" s="24">
        <f>ROUND(PK!V62,2)</f>
        <v>3807986.55</v>
      </c>
      <c r="X443" s="24">
        <f>ROUND(PK!W62,2)</f>
        <v>5195279.64</v>
      </c>
      <c r="Y443" s="24">
        <f>ROUND(PK!X62,2)</f>
        <v>37263953.14</v>
      </c>
      <c r="Z443" s="24">
        <f>ROUND(PK!Y62,2)</f>
        <v>0</v>
      </c>
      <c r="AA443" s="24">
        <f>ROUND(PK!Z62,2)</f>
        <v>37263953.14</v>
      </c>
      <c r="AB443" s="24"/>
      <c r="AC443" s="24"/>
      <c r="AD443" s="24"/>
      <c r="AE443" s="24"/>
      <c r="AF443" s="24">
        <v>0</v>
      </c>
    </row>
    <row r="444" spans="4:32" ht="12.75">
      <c r="D444" s="4" t="s">
        <v>1708</v>
      </c>
      <c r="E444" s="4">
        <v>6</v>
      </c>
      <c r="F444" s="26">
        <f>PK!G64</f>
        <v>52</v>
      </c>
      <c r="G444" s="4">
        <f>IF(PK!H64&lt;&gt;"",PK!H64,"")</f>
      </c>
      <c r="H444" s="250">
        <f t="shared" si="20"/>
        <v>2106488.0226</v>
      </c>
      <c r="I444" s="25">
        <f t="shared" si="21"/>
        <v>0.5099999999947613</v>
      </c>
      <c r="J444" s="24">
        <f>ROUND(PK!I64,2)</f>
        <v>0</v>
      </c>
      <c r="K444" s="24">
        <f>ROUND(PK!J64,2)</f>
        <v>110979.01</v>
      </c>
      <c r="L444" s="24">
        <f>ROUND(PK!K64,2)</f>
        <v>0</v>
      </c>
      <c r="M444" s="24">
        <f>ROUND(PK!L64,2)</f>
        <v>0</v>
      </c>
      <c r="N444" s="24">
        <f>ROUND(PK!M64,2)</f>
        <v>0</v>
      </c>
      <c r="O444" s="24">
        <f>ROUND(PK!N64,2)</f>
        <v>0</v>
      </c>
      <c r="P444" s="24">
        <f>ROUND(PK!O64,2)</f>
        <v>0</v>
      </c>
      <c r="Q444" s="24">
        <f>ROUND(PK!P64,2)</f>
        <v>0</v>
      </c>
      <c r="R444" s="24">
        <f>ROUND(PK!Q64,2)</f>
        <v>4542644.16</v>
      </c>
      <c r="S444" s="24">
        <f>ROUND(PK!R64,2)</f>
        <v>0</v>
      </c>
      <c r="T444" s="24">
        <f>ROUND(PK!S64,2)</f>
        <v>0</v>
      </c>
      <c r="U444" s="24">
        <f>ROUND(PK!T64,2)</f>
        <v>0</v>
      </c>
      <c r="V444" s="24">
        <f>ROUND(PK!U64,2)</f>
        <v>0</v>
      </c>
      <c r="W444" s="24">
        <f>ROUND(PK!V64,2)</f>
        <v>0</v>
      </c>
      <c r="X444" s="24">
        <f>ROUND(PK!W64,2)</f>
        <v>0</v>
      </c>
      <c r="Y444" s="24">
        <f>ROUND(PK!X64,2)</f>
        <v>4653623.17</v>
      </c>
      <c r="Z444" s="24">
        <f>ROUND(PK!Y64,2)</f>
        <v>0</v>
      </c>
      <c r="AA444" s="24">
        <f>ROUND(PK!Z64,2)</f>
        <v>4653623.17</v>
      </c>
      <c r="AB444" s="24"/>
      <c r="AC444" s="24"/>
      <c r="AD444" s="24"/>
      <c r="AE444" s="24"/>
      <c r="AF444" s="24">
        <v>0</v>
      </c>
    </row>
    <row r="445" spans="4:32" ht="12.75">
      <c r="D445" s="4" t="s">
        <v>1708</v>
      </c>
      <c r="E445" s="4">
        <v>6</v>
      </c>
      <c r="F445" s="26">
        <f>PK!G65</f>
        <v>53</v>
      </c>
      <c r="G445" s="4">
        <f>IF(PK!H65&lt;&gt;"",PK!H65,"")</f>
      </c>
      <c r="H445" s="250">
        <f t="shared" si="20"/>
        <v>4654394.6264</v>
      </c>
      <c r="I445" s="25">
        <f t="shared" si="21"/>
        <v>0.9099999994359678</v>
      </c>
      <c r="J445" s="24">
        <f>ROUND(PK!I65,2)</f>
        <v>0</v>
      </c>
      <c r="K445" s="24">
        <f>ROUND(PK!J65,2)</f>
        <v>110979.01</v>
      </c>
      <c r="L445" s="24">
        <f>ROUND(PK!K65,2)</f>
        <v>0</v>
      </c>
      <c r="M445" s="24">
        <f>ROUND(PK!L65,2)</f>
        <v>0</v>
      </c>
      <c r="N445" s="24">
        <f>ROUND(PK!M65,2)</f>
        <v>0</v>
      </c>
      <c r="O445" s="24">
        <f>ROUND(PK!N65,2)</f>
        <v>0</v>
      </c>
      <c r="P445" s="24">
        <f>ROUND(PK!O65,2)</f>
        <v>0</v>
      </c>
      <c r="Q445" s="24">
        <f>ROUND(PK!P65,2)</f>
        <v>0</v>
      </c>
      <c r="R445" s="24">
        <f>ROUND(PK!Q65,2)</f>
        <v>4542644.16</v>
      </c>
      <c r="S445" s="24">
        <f>ROUND(PK!R65,2)</f>
        <v>0</v>
      </c>
      <c r="T445" s="24">
        <f>ROUND(PK!S65,2)</f>
        <v>0</v>
      </c>
      <c r="U445" s="24">
        <f>ROUND(PK!T65,2)</f>
        <v>0</v>
      </c>
      <c r="V445" s="24">
        <f>ROUND(PK!U65,2)</f>
        <v>0</v>
      </c>
      <c r="W445" s="24">
        <f>ROUND(PK!V65,2)</f>
        <v>0</v>
      </c>
      <c r="X445" s="24">
        <f>ROUND(PK!W65,2)</f>
        <v>5195279.64</v>
      </c>
      <c r="Y445" s="24">
        <f>ROUND(PK!X65,2)</f>
        <v>9848902.81</v>
      </c>
      <c r="Z445" s="24">
        <f>ROUND(PK!Y65,2)</f>
        <v>0</v>
      </c>
      <c r="AA445" s="24">
        <f>ROUND(PK!Z65,2)</f>
        <v>9848902.81</v>
      </c>
      <c r="AB445" s="24"/>
      <c r="AC445" s="24"/>
      <c r="AD445" s="24"/>
      <c r="AE445" s="24"/>
      <c r="AF445" s="24">
        <v>0</v>
      </c>
    </row>
    <row r="446" spans="4:32" ht="12.75">
      <c r="D446" s="4" t="s">
        <v>1708</v>
      </c>
      <c r="E446" s="4">
        <v>6</v>
      </c>
      <c r="F446" s="26">
        <f>PK!G66</f>
        <v>54</v>
      </c>
      <c r="G446" s="4">
        <f>IF(PK!H66&lt;&gt;"",PK!H66,"")</f>
      </c>
      <c r="H446" s="250">
        <f t="shared" si="20"/>
        <v>-874752.0651</v>
      </c>
      <c r="I446" s="25">
        <f t="shared" si="21"/>
        <v>1.8100000002153682</v>
      </c>
      <c r="J446" s="24">
        <f>ROUND(PK!I66,2)</f>
        <v>-0.18</v>
      </c>
      <c r="K446" s="24">
        <f>ROUND(PK!J66,2)</f>
        <v>0.18</v>
      </c>
      <c r="L446" s="24">
        <f>ROUND(PK!K66,2)</f>
        <v>0</v>
      </c>
      <c r="M446" s="24">
        <f>ROUND(PK!L66,2)</f>
        <v>-120142.23</v>
      </c>
      <c r="N446" s="24">
        <f>ROUND(PK!M66,2)</f>
        <v>-120142.23</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-1799873.67</v>
      </c>
      <c r="X446" s="24">
        <f>ROUND(PK!W66,2)</f>
        <v>0</v>
      </c>
      <c r="Y446" s="24">
        <f>ROUND(PK!X66,2)</f>
        <v>-1799873.67</v>
      </c>
      <c r="Z446" s="24">
        <f>ROUND(PK!Y66,2)</f>
        <v>0</v>
      </c>
      <c r="AA446" s="24">
        <f>ROUND(PK!Z66,2)</f>
        <v>-1799873.67</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30" activePane="bottomLeft" state="frozen"/>
      <selection pane="topLeft" activeCell="A2" sqref="A2"/>
      <selection pane="bottomLeft" activeCell="C65" sqref="C65:J65"/>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11.2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DA</v>
      </c>
      <c r="V2" s="180" t="s">
        <v>2689</v>
      </c>
      <c r="W2" s="197" t="str">
        <f>RefStr!C29</f>
        <v>MON PERIN D.D.</v>
      </c>
      <c r="X2" s="180" t="s">
        <v>703</v>
      </c>
      <c r="Y2" s="197">
        <f>IF(RefStr!C54&lt;&gt;"",RefStr!C54,"")</f>
        <v>99</v>
      </c>
      <c r="Z2" s="180" t="s">
        <v>1054</v>
      </c>
      <c r="AA2" s="197" t="str">
        <f>IF(RefStr!B64="","",RefStr!B64)</f>
        <v>04280237</v>
      </c>
      <c r="AB2" s="180" t="s">
        <v>2911</v>
      </c>
      <c r="AC2" s="197">
        <f>IF(YEAR(RefStr!F4)&gt;2022,0.14,1)</f>
        <v>0.14</v>
      </c>
    </row>
    <row r="3" spans="1:29" ht="13.5" customHeight="1">
      <c r="A3" s="504" t="s">
        <v>2055</v>
      </c>
      <c r="B3" s="505"/>
      <c r="C3" s="505"/>
      <c r="D3" s="505"/>
      <c r="E3" s="505"/>
      <c r="F3" s="505"/>
      <c r="G3" s="505"/>
      <c r="H3" s="505"/>
      <c r="I3" s="512"/>
      <c r="J3" s="513"/>
      <c r="L3" s="119"/>
      <c r="M3" s="119"/>
      <c r="N3" s="179" t="s">
        <v>1707</v>
      </c>
      <c r="O3" s="182">
        <f>RDG!Q1</f>
        <v>1</v>
      </c>
      <c r="P3" s="183">
        <f>RDG!Q2</f>
        <v>1</v>
      </c>
      <c r="Q3" s="198">
        <f>RDG!Q3</f>
        <v>1</v>
      </c>
      <c r="R3" s="182" t="s">
        <v>1807</v>
      </c>
      <c r="S3" s="198">
        <f>IF(RefStr!C50&lt;&gt;"",IF(ISERROR(INT(RefStr!C50)),0,RefStr!C50),0)</f>
        <v>3</v>
      </c>
      <c r="T3" s="182" t="s">
        <v>2179</v>
      </c>
      <c r="U3" s="198" t="str">
        <f>RefStr!L21</f>
        <v>71799539000</v>
      </c>
      <c r="V3" s="182" t="s">
        <v>2309</v>
      </c>
      <c r="W3" s="198">
        <f>RefStr!C31</f>
        <v>52211</v>
      </c>
      <c r="X3" s="182" t="s">
        <v>704</v>
      </c>
      <c r="Y3" s="198">
        <f>IF(RefStr!F54&lt;&gt;"",RefStr!F54,"")</f>
        <v>1</v>
      </c>
      <c r="Z3" s="182" t="s">
        <v>1055</v>
      </c>
      <c r="AA3" s="198" t="str">
        <f>IF(RefStr!B66="","",RefStr!B66)</f>
        <v>M.I. RAČUNOVOĐA D.O.O.</v>
      </c>
      <c r="AB3" s="171" t="s">
        <v>650</v>
      </c>
      <c r="AC3" s="248" t="str">
        <f>Skriveni!B71</f>
        <v>EUR</v>
      </c>
    </row>
    <row r="4" spans="1:29" ht="13.5" customHeight="1">
      <c r="A4" s="506"/>
      <c r="B4" s="507"/>
      <c r="C4" s="507"/>
      <c r="D4" s="507"/>
      <c r="E4" s="507"/>
      <c r="F4" s="507"/>
      <c r="G4" s="507"/>
      <c r="H4" s="507"/>
      <c r="I4" s="189" t="s">
        <v>827</v>
      </c>
      <c r="J4" s="190">
        <f>SUM(L12:L122)</f>
        <v>0</v>
      </c>
      <c r="L4" s="3"/>
      <c r="M4" s="3"/>
      <c r="N4" s="179" t="s">
        <v>1992</v>
      </c>
      <c r="O4" s="182">
        <f>Dodatni!Q1</f>
        <v>0</v>
      </c>
      <c r="P4" s="183">
        <f>Dodatni!Q2</f>
        <v>0</v>
      </c>
      <c r="Q4" s="198">
        <f>Dodatni!Q3</f>
        <v>0</v>
      </c>
      <c r="R4" s="182" t="s">
        <v>608</v>
      </c>
      <c r="S4" s="198">
        <f>IF(RefStr!C52&lt;&gt;"",IF(ISERROR(INT(RefStr!C52)),0,RefStr!C52),0)</f>
        <v>21</v>
      </c>
      <c r="T4" s="182" t="s">
        <v>498</v>
      </c>
      <c r="U4" s="198" t="str">
        <f>RefStr!C27</f>
        <v>06374155285</v>
      </c>
      <c r="V4" s="182" t="s">
        <v>2310</v>
      </c>
      <c r="W4" s="198" t="str">
        <f>RefStr!F31</f>
        <v>BALE</v>
      </c>
      <c r="X4" s="200" t="s">
        <v>717</v>
      </c>
      <c r="Y4" s="201" t="str">
        <f>RefStr!I68</f>
        <v>DA</v>
      </c>
      <c r="Z4" s="182" t="s">
        <v>659</v>
      </c>
      <c r="AA4" s="198" t="str">
        <f>RefStr!N19</f>
        <v>MSFI</v>
      </c>
      <c r="AB4" s="167" t="s">
        <v>1114</v>
      </c>
      <c r="AC4" s="184" t="str">
        <f>IF(RefStr!N7="NE","DA",IF(RefStr!N7="DA","NE",RefStr!N7))</f>
        <v>NE</v>
      </c>
    </row>
    <row r="5" spans="1:29" ht="13.5" customHeight="1">
      <c r="A5" s="506"/>
      <c r="B5" s="507"/>
      <c r="C5" s="507"/>
      <c r="D5" s="507"/>
      <c r="E5" s="507"/>
      <c r="F5" s="507"/>
      <c r="G5" s="507"/>
      <c r="H5" s="507"/>
      <c r="I5" s="514"/>
      <c r="J5" s="515"/>
      <c r="L5" s="3"/>
      <c r="M5" s="3"/>
      <c r="N5" s="179" t="s">
        <v>1993</v>
      </c>
      <c r="O5" s="182">
        <f>NT_I!Q1</f>
        <v>0</v>
      </c>
      <c r="P5" s="183">
        <f>NT_I!Q2</f>
        <v>0</v>
      </c>
      <c r="Q5" s="198">
        <f>NT_I!Q3</f>
        <v>0</v>
      </c>
      <c r="R5" s="182" t="s">
        <v>606</v>
      </c>
      <c r="S5" s="198">
        <f>IF(RefStr!C19&lt;&gt;"",IF(ISERROR(INT(RefStr!C19)),0,RefStr!C19),0)</f>
        <v>2</v>
      </c>
      <c r="T5" s="182" t="s">
        <v>2687</v>
      </c>
      <c r="U5" s="198" t="str">
        <f>RefStr!H27</f>
        <v>02013720</v>
      </c>
      <c r="V5" s="182" t="s">
        <v>2311</v>
      </c>
      <c r="W5" s="198" t="str">
        <f>RefStr!C33</f>
        <v>TRG LA MUSA 2</v>
      </c>
      <c r="X5" s="200" t="s">
        <v>646</v>
      </c>
      <c r="Y5" s="201" t="str">
        <f>RefStr!I62</f>
        <v>DA</v>
      </c>
      <c r="Z5" s="182" t="s">
        <v>2412</v>
      </c>
      <c r="AA5" s="198">
        <f>RefStr!M46</f>
        <v>0</v>
      </c>
      <c r="AB5" s="167" t="s">
        <v>1115</v>
      </c>
      <c r="AC5" s="184" t="str">
        <f>IF(RefStr!N6="NE","DA",IF(RefStr!N6="DA","NE",RefStr!N6))</f>
        <v>NE</v>
      </c>
    </row>
    <row r="6" spans="1:29" ht="13.5" customHeight="1">
      <c r="A6" s="506"/>
      <c r="B6" s="507"/>
      <c r="C6" s="507"/>
      <c r="D6" s="507"/>
      <c r="E6" s="507"/>
      <c r="F6" s="507"/>
      <c r="G6" s="507"/>
      <c r="H6" s="507"/>
      <c r="I6" s="514"/>
      <c r="J6" s="515"/>
      <c r="L6" s="3"/>
      <c r="M6" s="3"/>
      <c r="N6" s="179" t="s">
        <v>1994</v>
      </c>
      <c r="O6" s="182">
        <f>NT_D!Q1</f>
        <v>1</v>
      </c>
      <c r="P6" s="183">
        <f>NT_D!Q2</f>
        <v>1</v>
      </c>
      <c r="Q6" s="198">
        <f>NT_D!Q3</f>
        <v>1</v>
      </c>
      <c r="R6" s="182" t="s">
        <v>604</v>
      </c>
      <c r="S6" s="198" t="str">
        <f>RefStr!C21</f>
        <v>DA</v>
      </c>
      <c r="T6" s="182" t="s">
        <v>2688</v>
      </c>
      <c r="U6" s="198" t="str">
        <f>RefStr!M27</f>
        <v>040224587</v>
      </c>
      <c r="V6" s="182" t="s">
        <v>657</v>
      </c>
      <c r="W6" s="198" t="str">
        <f>RefStr!L35</f>
        <v>052/824-075</v>
      </c>
      <c r="X6" s="182" t="s">
        <v>643</v>
      </c>
      <c r="Y6" s="198" t="str">
        <f>RefStr!C68</f>
        <v>Ivana Mikulek</v>
      </c>
      <c r="Z6" s="182" t="s">
        <v>2476</v>
      </c>
      <c r="AA6" s="198">
        <f>RefStr!C46</f>
        <v>0</v>
      </c>
      <c r="AB6" s="167" t="s">
        <v>1116</v>
      </c>
      <c r="AC6" s="167" t="str">
        <f>RefStr!G6</f>
        <v>NE</v>
      </c>
    </row>
    <row r="7" spans="1:27" ht="13.5" customHeight="1">
      <c r="A7" s="506"/>
      <c r="B7" s="507"/>
      <c r="C7" s="507"/>
      <c r="D7" s="507"/>
      <c r="E7" s="507"/>
      <c r="F7" s="507"/>
      <c r="G7" s="507"/>
      <c r="H7" s="507"/>
      <c r="I7" s="189" t="s">
        <v>828</v>
      </c>
      <c r="J7" s="191">
        <f>SUM(M12:M122)</f>
        <v>2</v>
      </c>
      <c r="N7" s="179" t="s">
        <v>1708</v>
      </c>
      <c r="O7" s="182">
        <f>PK!AC1</f>
        <v>1</v>
      </c>
      <c r="P7" s="183">
        <f>PK!AC2</f>
        <v>1</v>
      </c>
      <c r="Q7" s="198">
        <f>PK!AC3</f>
        <v>1</v>
      </c>
      <c r="R7" s="182" t="s">
        <v>658</v>
      </c>
      <c r="S7" s="198">
        <f>IF(RefStr!C44&lt;&gt;"",IF(ISERROR(INT(RefStr!C44)),0,RefStr!C44),0)</f>
        <v>7</v>
      </c>
      <c r="T7" s="182" t="s">
        <v>2402</v>
      </c>
      <c r="U7" s="198">
        <f>RefStr!C7</f>
        <v>4</v>
      </c>
      <c r="V7" s="182" t="s">
        <v>602</v>
      </c>
      <c r="W7" s="198" t="str">
        <f>TRIM(UPPER(RefStr!C35))</f>
        <v>MASSIMO.PIUTTI@MONPERIN.HR</v>
      </c>
      <c r="X7" s="182" t="s">
        <v>644</v>
      </c>
      <c r="Y7" s="198" t="str">
        <f>RefStr!C70</f>
        <v>052824186</v>
      </c>
      <c r="Z7" s="182" t="s">
        <v>2477</v>
      </c>
      <c r="AA7" s="198">
        <f>RefStr!D46</f>
      </c>
    </row>
    <row r="8" spans="1:27" ht="13.5" customHeight="1">
      <c r="A8" s="508"/>
      <c r="B8" s="509"/>
      <c r="C8" s="509"/>
      <c r="D8" s="509"/>
      <c r="E8" s="509"/>
      <c r="F8" s="509"/>
      <c r="G8" s="509"/>
      <c r="H8" s="509"/>
      <c r="I8" s="510"/>
      <c r="J8" s="511"/>
      <c r="L8" s="168"/>
      <c r="M8" s="168"/>
      <c r="N8" s="196" t="s">
        <v>142</v>
      </c>
      <c r="O8" s="184" t="str">
        <f>IF(RefStr!N6="NE","DA",IF(RefStr!N6="DA","NE",RefStr!N6))</f>
        <v>NE</v>
      </c>
      <c r="P8" s="185">
        <f>RefStr!C60</f>
        <v>12</v>
      </c>
      <c r="Q8" s="199">
        <f>RefStr!F60</f>
        <v>12</v>
      </c>
      <c r="R8" s="182" t="s">
        <v>2399</v>
      </c>
      <c r="S8" s="198">
        <f>IF(RefStr!C4&lt;&gt;"",RefStr!C4,0)</f>
        <v>44927</v>
      </c>
      <c r="T8" s="182" t="s">
        <v>2401</v>
      </c>
      <c r="U8" s="198" t="str">
        <f>RefStr!D7</f>
        <v>Dioničko društvo</v>
      </c>
      <c r="V8" s="182" t="s">
        <v>663</v>
      </c>
      <c r="W8" s="198" t="str">
        <f>RefStr!C42</f>
        <v>5530</v>
      </c>
      <c r="X8" s="182" t="s">
        <v>645</v>
      </c>
      <c r="Y8" s="198" t="str">
        <f>TRIM(UPPER(RefStr!C72))</f>
        <v>IVANA.MIKULEK@MI-RACUNOVODA.HR</v>
      </c>
      <c r="Z8" s="202" t="s">
        <v>714</v>
      </c>
      <c r="AA8" s="203" t="str">
        <f>RefStr!I56</f>
        <v>DA</v>
      </c>
    </row>
    <row r="9" spans="1:27" ht="13.5" customHeight="1">
      <c r="A9" s="516" t="s">
        <v>1732</v>
      </c>
      <c r="B9" s="516"/>
      <c r="C9" s="516" t="s">
        <v>146</v>
      </c>
      <c r="D9" s="516"/>
      <c r="E9" s="516"/>
      <c r="F9" s="516"/>
      <c r="G9" s="516"/>
      <c r="H9" s="516"/>
      <c r="I9" s="516"/>
      <c r="J9" s="516"/>
      <c r="L9" s="168"/>
      <c r="M9" s="168"/>
      <c r="O9" s="196" t="s">
        <v>141</v>
      </c>
      <c r="P9" s="180">
        <f>RefStr!C58</f>
        <v>41</v>
      </c>
      <c r="Q9" s="197">
        <f>RefStr!F58</f>
        <v>46</v>
      </c>
      <c r="R9" s="182" t="s">
        <v>2400</v>
      </c>
      <c r="S9" s="198">
        <f>IF(RefStr!F4&lt;&gt;"",RefStr!F4,0)</f>
        <v>45291</v>
      </c>
      <c r="T9" s="182" t="s">
        <v>1804</v>
      </c>
      <c r="U9" s="198">
        <f>RefStr!C39</f>
        <v>5</v>
      </c>
      <c r="V9" s="182" t="s">
        <v>2475</v>
      </c>
      <c r="W9" s="198" t="str">
        <f>RefStr!D42</f>
        <v>Kampovi i prostori za kampiranje</v>
      </c>
      <c r="X9" s="204" t="s">
        <v>716</v>
      </c>
      <c r="Y9" s="205" t="str">
        <f>RefStr!I66</f>
        <v>NE</v>
      </c>
      <c r="Z9" s="202" t="s">
        <v>715</v>
      </c>
      <c r="AA9" s="203" t="str">
        <f>RefStr!I64</f>
        <v>DA</v>
      </c>
    </row>
    <row r="10" spans="1:27" ht="13.5" customHeight="1">
      <c r="A10" s="517"/>
      <c r="B10" s="517"/>
      <c r="C10" s="517"/>
      <c r="D10" s="517"/>
      <c r="E10" s="517"/>
      <c r="F10" s="517"/>
      <c r="G10" s="517"/>
      <c r="H10" s="517"/>
      <c r="I10" s="517"/>
      <c r="J10" s="517"/>
      <c r="L10" s="168"/>
      <c r="M10" s="168"/>
      <c r="O10" s="196" t="s">
        <v>1470</v>
      </c>
      <c r="P10" s="184">
        <f>RefStr!C56</f>
        <v>41</v>
      </c>
      <c r="Q10" s="199">
        <f>RefStr!F56</f>
        <v>49</v>
      </c>
      <c r="R10" s="184" t="s">
        <v>2403</v>
      </c>
      <c r="S10" s="199">
        <f>RefStr!C23</f>
        <v>1</v>
      </c>
      <c r="T10" s="184" t="s">
        <v>662</v>
      </c>
      <c r="U10" s="199" t="str">
        <f>RefStr!D39</f>
        <v>Bale</v>
      </c>
      <c r="V10" s="206" t="s">
        <v>783</v>
      </c>
      <c r="W10" s="207">
        <f>YEAR(RefStr!F4)</f>
        <v>2023</v>
      </c>
      <c r="X10" s="208" t="s">
        <v>1940</v>
      </c>
      <c r="Y10" s="209">
        <f>RefStr!F12</f>
        <v>2023</v>
      </c>
      <c r="Z10" s="184" t="s">
        <v>705</v>
      </c>
      <c r="AA10" s="199" t="str">
        <f>RefStr!A75</f>
        <v>Piutti Massimo</v>
      </c>
    </row>
    <row r="11" spans="1:25" ht="13.5" customHeight="1">
      <c r="A11" s="518" t="s">
        <v>2210</v>
      </c>
      <c r="B11" s="519"/>
      <c r="C11" s="519"/>
      <c r="D11" s="519"/>
      <c r="E11" s="519"/>
      <c r="F11" s="519"/>
      <c r="G11" s="519"/>
      <c r="H11" s="519"/>
      <c r="I11" s="519"/>
      <c r="J11" s="520"/>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A15+1</f>
        <v>5</v>
      </c>
      <c r="B16" s="212" t="str">
        <f>IF(L16=1,"Pogreška",IF(M16=1,"Provjera","OK"))</f>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A16+1</f>
        <v>6</v>
      </c>
      <c r="B17" s="212" t="str">
        <f>IF(L17=1,"Pogreška",IF(M17=1,"Provjera","OK"))</f>
        <v>OK</v>
      </c>
      <c r="C17" s="492" t="s">
        <v>0</v>
      </c>
      <c r="D17" s="492"/>
      <c r="E17" s="492"/>
      <c r="F17" s="492"/>
      <c r="G17" s="492"/>
      <c r="H17" s="492"/>
      <c r="I17" s="492"/>
      <c r="J17" s="492"/>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3"/>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3"/>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2" t="s">
        <v>1689</v>
      </c>
      <c r="D32" s="492"/>
      <c r="E32" s="492"/>
      <c r="F32" s="492"/>
      <c r="G32" s="492"/>
      <c r="H32" s="492"/>
      <c r="I32" s="492"/>
      <c r="J32" s="492"/>
      <c r="L32" s="168">
        <f aca="true" t="shared" si="4" ref="L32:L39">MAX(N32:R32)</f>
        <v>0</v>
      </c>
      <c r="M32" s="168"/>
      <c r="N32" s="168">
        <f>IF(AND(S6="DA",OR(S7=1,S7=2,S7=3,S7=9,S7=10)),1,0)</f>
        <v>0</v>
      </c>
    </row>
    <row r="33" spans="1:14" ht="40.5" customHeight="1">
      <c r="A33" s="216">
        <f t="shared" si="2"/>
        <v>22</v>
      </c>
      <c r="B33" s="212" t="str">
        <f t="shared" si="3"/>
        <v>OK</v>
      </c>
      <c r="C33" s="492" t="s">
        <v>2711</v>
      </c>
      <c r="D33" s="492"/>
      <c r="E33" s="492"/>
      <c r="F33" s="492"/>
      <c r="G33" s="492"/>
      <c r="H33" s="492"/>
      <c r="I33" s="492"/>
      <c r="J33" s="492"/>
      <c r="L33" s="168">
        <f t="shared" si="4"/>
        <v>0</v>
      </c>
      <c r="M33" s="168"/>
      <c r="N33" s="168">
        <f>IF(AND(S7&lt;10,OR(U7&gt;12,U7=8,U7=9,U7=10)),1,0)</f>
        <v>0</v>
      </c>
    </row>
    <row r="34" spans="1:14" ht="19.5" customHeight="1">
      <c r="A34" s="216">
        <f t="shared" si="2"/>
        <v>23</v>
      </c>
      <c r="B34" s="212" t="str">
        <f t="shared" si="3"/>
        <v>OK</v>
      </c>
      <c r="C34" s="492" t="s">
        <v>300</v>
      </c>
      <c r="D34" s="492"/>
      <c r="E34" s="492"/>
      <c r="F34" s="492"/>
      <c r="G34" s="492"/>
      <c r="H34" s="492"/>
      <c r="I34" s="492"/>
      <c r="J34" s="492"/>
      <c r="L34" s="168">
        <f t="shared" si="4"/>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4"/>
        <v>0</v>
      </c>
      <c r="M35" s="168"/>
      <c r="N35" s="168">
        <f>IF(AND(OR(W8=0,W8=""),U7&lt;&gt;16),1,0)</f>
        <v>0</v>
      </c>
      <c r="O35" s="171">
        <f>IF(W9="Šifra NKD-a ne postoji",1,0)</f>
        <v>0</v>
      </c>
    </row>
    <row r="36" spans="1:15" ht="19.5" customHeight="1">
      <c r="A36" s="216">
        <f t="shared" si="2"/>
        <v>25</v>
      </c>
      <c r="B36" s="212" t="str">
        <f>IF(L36=1,"Pogreška",IF(M36=1,"Provjera","OK"))</f>
        <v>OK</v>
      </c>
      <c r="C36" s="492" t="s">
        <v>2712</v>
      </c>
      <c r="D36" s="492"/>
      <c r="E36" s="492"/>
      <c r="F36" s="492"/>
      <c r="G36" s="492"/>
      <c r="H36" s="492"/>
      <c r="I36" s="492"/>
      <c r="J36" s="492"/>
      <c r="L36" s="168">
        <f t="shared" si="4"/>
        <v>0</v>
      </c>
      <c r="M36" s="168"/>
      <c r="N36" s="168">
        <f>IF(AND(S3&lt;&gt;1,S3&lt;&gt;2,S3&lt;&gt;3,S3&lt;&gt;4),1,0)</f>
        <v>0</v>
      </c>
      <c r="O36" s="171">
        <f>IF(AND(S6="DA",S3=1),1,0)</f>
        <v>0</v>
      </c>
    </row>
    <row r="37" spans="1:14" ht="19.5" customHeight="1">
      <c r="A37" s="216">
        <f t="shared" si="2"/>
        <v>26</v>
      </c>
      <c r="B37" s="212" t="str">
        <f>IF(L37=1,"Pogreška",IF(M37=1,"Provjera","OK"))</f>
        <v>OK</v>
      </c>
      <c r="C37" s="492" t="s">
        <v>2713</v>
      </c>
      <c r="D37" s="492"/>
      <c r="E37" s="492"/>
      <c r="F37" s="492"/>
      <c r="G37" s="492"/>
      <c r="H37" s="492"/>
      <c r="I37" s="492"/>
      <c r="J37" s="492"/>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2" t="s">
        <v>702</v>
      </c>
      <c r="D38" s="492"/>
      <c r="E38" s="492"/>
      <c r="F38" s="492"/>
      <c r="G38" s="492"/>
      <c r="H38" s="492"/>
      <c r="I38" s="492"/>
      <c r="J38" s="492"/>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4" t="s">
        <v>2664</v>
      </c>
      <c r="D42" s="494"/>
      <c r="E42" s="494"/>
      <c r="F42" s="494"/>
      <c r="G42" s="494"/>
      <c r="H42" s="494"/>
      <c r="I42" s="494"/>
      <c r="J42" s="494"/>
      <c r="L42" s="168">
        <f aca="true" t="shared" si="5" ref="L42:L49">MAX(N42:R42)</f>
        <v>0</v>
      </c>
      <c r="M42" s="168"/>
      <c r="N42" s="168">
        <f>IF(LEN(AA10)&lt;5,1,0)</f>
        <v>0</v>
      </c>
      <c r="O42" s="168"/>
    </row>
    <row r="43" spans="1:16" ht="19.5" customHeight="1">
      <c r="A43" s="521" t="s">
        <v>467</v>
      </c>
      <c r="B43" s="522"/>
      <c r="C43" s="522"/>
      <c r="D43" s="522"/>
      <c r="E43" s="522"/>
      <c r="F43" s="522"/>
      <c r="G43" s="522"/>
      <c r="H43" s="522"/>
      <c r="I43" s="522"/>
      <c r="J43" s="523"/>
      <c r="L43" s="168">
        <f t="shared" si="5"/>
        <v>0</v>
      </c>
      <c r="M43" s="168"/>
      <c r="N43" s="168"/>
      <c r="O43" s="168"/>
      <c r="P43" s="168"/>
    </row>
    <row r="44" spans="1:17" ht="64.5" customHeight="1">
      <c r="A44" s="215">
        <f>A42+1</f>
        <v>32</v>
      </c>
      <c r="B44" s="211" t="str">
        <f>IF(L44=1,"Pogreška",IF(M44=1,"Provjera","OK"))</f>
        <v>OK</v>
      </c>
      <c r="C44" s="493" t="s">
        <v>42</v>
      </c>
      <c r="D44" s="493"/>
      <c r="E44" s="493"/>
      <c r="F44" s="493"/>
      <c r="G44" s="493"/>
      <c r="H44" s="493"/>
      <c r="I44" s="493"/>
      <c r="J44" s="493"/>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2" t="s">
        <v>2920</v>
      </c>
      <c r="D45" s="492"/>
      <c r="E45" s="492"/>
      <c r="F45" s="492"/>
      <c r="G45" s="492"/>
      <c r="H45" s="492"/>
      <c r="I45" s="492"/>
      <c r="J45" s="492"/>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2" t="s">
        <v>2921</v>
      </c>
      <c r="D46" s="492"/>
      <c r="E46" s="492"/>
      <c r="F46" s="492"/>
      <c r="G46" s="492"/>
      <c r="H46" s="492"/>
      <c r="I46" s="492"/>
      <c r="J46" s="492"/>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2" t="s">
        <v>2922</v>
      </c>
      <c r="D48" s="492"/>
      <c r="E48" s="492"/>
      <c r="F48" s="492"/>
      <c r="G48" s="492"/>
      <c r="H48" s="492"/>
      <c r="I48" s="492"/>
      <c r="J48" s="492"/>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Provjera</v>
      </c>
      <c r="C49" s="492" t="s">
        <v>2923</v>
      </c>
      <c r="D49" s="492"/>
      <c r="E49" s="492"/>
      <c r="F49" s="492"/>
      <c r="G49" s="492"/>
      <c r="H49" s="492"/>
      <c r="I49" s="492"/>
      <c r="J49" s="492"/>
      <c r="L49" s="168">
        <f t="shared" si="5"/>
        <v>0</v>
      </c>
      <c r="M49" s="168">
        <f>MAX(S49:V49)</f>
        <v>1</v>
      </c>
      <c r="N49" s="168">
        <f>IF(AND(S6="NE",OR(Bilanca!I98&lt;&gt;0,Bilanca!J98&lt;&gt;0)),1,0)</f>
        <v>0</v>
      </c>
      <c r="O49" s="168"/>
      <c r="P49" s="168"/>
      <c r="S49" s="171">
        <f>IF(AND(S6="DA",AND(Bilanca!I98=0,P8&gt;0)),1,0)</f>
        <v>1</v>
      </c>
      <c r="T49" s="171">
        <f>IF(AND(S6="DA",AND(Bilanca!J98=0,Q8&gt;0)),1,0)</f>
        <v>1</v>
      </c>
      <c r="AQ49" s="171" t="s">
        <v>784</v>
      </c>
      <c r="AR49" s="171" t="s">
        <v>785</v>
      </c>
      <c r="AS49" s="171" t="s">
        <v>786</v>
      </c>
      <c r="AT49" s="171" t="s">
        <v>787</v>
      </c>
      <c r="AU49" s="171" t="s">
        <v>788</v>
      </c>
      <c r="AV49" s="171" t="s">
        <v>789</v>
      </c>
    </row>
    <row r="50" spans="1:48" ht="57.75" customHeight="1">
      <c r="A50" s="216">
        <f t="shared" si="6"/>
        <v>38</v>
      </c>
      <c r="B50" s="212"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2"/>
      <c r="E50" s="492"/>
      <c r="F50" s="492"/>
      <c r="G50" s="492"/>
      <c r="H50" s="492"/>
      <c r="I50" s="492"/>
      <c r="J50" s="492"/>
      <c r="L50" s="168">
        <f>IF(N50&lt;&gt;S3,1,0)</f>
        <v>0</v>
      </c>
      <c r="M50" s="168"/>
      <c r="N50" s="168">
        <f>IF(P8&gt;0,O50,AC50)</f>
        <v>3</v>
      </c>
      <c r="O50" s="172">
        <f>IF(SUM(Y50:AA50)&gt;1,4,IF(SUM(U50:W50)&gt;1,3,IF(SUM(Q50:S50)&gt;1,2,IF(S6="DA",2,1))))</f>
        <v>3</v>
      </c>
      <c r="P50" s="175" t="s">
        <v>1176</v>
      </c>
      <c r="Q50" s="175">
        <f>IF(Bilanca!I73&gt;AQ50,1,0)</f>
        <v>1</v>
      </c>
      <c r="R50" s="174">
        <f>IF(RDG!I60&gt;AT50,1,0)</f>
        <v>1</v>
      </c>
      <c r="S50" s="174">
        <f>IF(P10&gt;10,1,0)</f>
        <v>1</v>
      </c>
      <c r="T50" s="174" t="s">
        <v>1917</v>
      </c>
      <c r="U50" s="174">
        <f>IF(Bilanca!I73&gt;AR50,1,0)</f>
        <v>1</v>
      </c>
      <c r="V50" s="174">
        <f>IF(RDG!I60&gt;AU50,1,0)</f>
        <v>1</v>
      </c>
      <c r="W50" s="174">
        <f>IF(P10&gt;50,1,0)</f>
        <v>0</v>
      </c>
      <c r="X50" s="174" t="s">
        <v>1918</v>
      </c>
      <c r="Y50" s="174">
        <f>IF(Bilanca!I73&gt;AS50,1,0)</f>
        <v>1</v>
      </c>
      <c r="Z50" s="174">
        <f>IF(RDG!I60&gt;AV50,1,0)</f>
        <v>0</v>
      </c>
      <c r="AA50" s="174">
        <f>IF(P10&gt;250,1,0)</f>
        <v>0</v>
      </c>
      <c r="AC50" s="172">
        <f>IF(SUM(AM50:AO50)&gt;1,4,IF(SUM(AI50:AK50)&gt;1,3,IF(SUM(AE50:AG50)&gt;1,2,IF(S6="DA",2,1))))</f>
        <v>3</v>
      </c>
      <c r="AD50" s="175" t="s">
        <v>1176</v>
      </c>
      <c r="AE50" s="175">
        <f>IF(Bilanca!J73&gt;AQ50,1,0)</f>
        <v>1</v>
      </c>
      <c r="AF50" s="174">
        <f>IF(S9&gt;S8,IF(RDG!J60*365/(S9-S8)&gt;AT50,1,0),0)</f>
        <v>1</v>
      </c>
      <c r="AG50" s="174">
        <f>IF(Q10&gt;10,1,0)</f>
        <v>1</v>
      </c>
      <c r="AH50" s="174" t="s">
        <v>1917</v>
      </c>
      <c r="AI50" s="174">
        <f>IF(Bilanca!J73&gt;AR50,1,0)</f>
        <v>1</v>
      </c>
      <c r="AJ50" s="174">
        <f>IF(S9&gt;S8,IF(RDG!J60*365/(S9-S8)&gt;AU50,1,0),0)</f>
        <v>1</v>
      </c>
      <c r="AK50" s="174">
        <f>IF(Q10&gt;50,1,0)</f>
        <v>0</v>
      </c>
      <c r="AL50" s="174" t="s">
        <v>1918</v>
      </c>
      <c r="AM50" s="174">
        <f>IF(Bilanca!J73&gt;AS50,1,0)</f>
        <v>1</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6"/>
        <v>40</v>
      </c>
      <c r="B52" s="212" t="str">
        <f t="shared" si="7"/>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1</v>
      </c>
      <c r="AA52" s="192">
        <f>IF(Bilanca!I73&gt;AF52,1,0)</f>
        <v>1</v>
      </c>
      <c r="AB52" s="192">
        <f>IF(RDG!I60&gt;AG52,1,0)</f>
        <v>1</v>
      </c>
      <c r="AC52" s="192">
        <f>IF(P10&gt;=25,1,0)</f>
        <v>1</v>
      </c>
      <c r="AF52" s="171">
        <f>IF(W10&lt;2023,150000000,1990842.13)</f>
        <v>1990842.13</v>
      </c>
      <c r="AG52" s="171">
        <f>IF(W10&lt;2023,30000000,3981684.25)</f>
        <v>3981684.25</v>
      </c>
    </row>
    <row r="53" spans="1:15" ht="30" customHeight="1">
      <c r="A53" s="216">
        <f t="shared" si="6"/>
        <v>41</v>
      </c>
      <c r="B53" s="212" t="str">
        <f t="shared" si="7"/>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6"/>
        <v>42</v>
      </c>
      <c r="B54" s="212" t="str">
        <f t="shared" si="7"/>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2" t="s">
        <v>1620</v>
      </c>
      <c r="D57" s="492"/>
      <c r="E57" s="492"/>
      <c r="F57" s="492"/>
      <c r="G57" s="492"/>
      <c r="H57" s="492"/>
      <c r="I57" s="492"/>
      <c r="J57" s="492"/>
      <c r="L57" s="173">
        <f aca="true" t="shared" si="9" ref="L57:L65">MAX(N57:Q57)</f>
        <v>0</v>
      </c>
      <c r="M57" s="168"/>
      <c r="N57" s="169">
        <f>IF(MIN(Bilanca!I9:J74,Bilanca!I77:J77,Bilanca!I80:J84,Bilanca!I93:J94,Bilanca!I96:J97,Bilanca!I99:J135)&lt;0,1,0)</f>
        <v>0</v>
      </c>
      <c r="O57" s="168"/>
      <c r="P57" s="168"/>
    </row>
    <row r="58" spans="1:16" ht="30" customHeight="1">
      <c r="A58" s="216">
        <f t="shared" si="6"/>
        <v>46</v>
      </c>
      <c r="B58" s="212" t="str">
        <f t="shared" si="8"/>
        <v>OK</v>
      </c>
      <c r="C58" s="492" t="s">
        <v>1673</v>
      </c>
      <c r="D58" s="492"/>
      <c r="E58" s="492"/>
      <c r="F58" s="492"/>
      <c r="G58" s="492"/>
      <c r="H58" s="492"/>
      <c r="I58" s="492"/>
      <c r="J58" s="492"/>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2" t="s">
        <v>286</v>
      </c>
      <c r="D59" s="492"/>
      <c r="E59" s="492"/>
      <c r="F59" s="492"/>
      <c r="G59" s="492"/>
      <c r="H59" s="492"/>
      <c r="I59" s="492"/>
      <c r="J59" s="492"/>
      <c r="L59" s="173">
        <f>MAX(N59:Q59)</f>
        <v>0</v>
      </c>
      <c r="M59" s="168"/>
      <c r="N59" s="169">
        <f>IF(MIN(NT_I!I11:J11,NT_I!I15:J15,NT_I!I30:J36,NT_I!I59:J60)&lt;0,1,0)</f>
        <v>0</v>
      </c>
      <c r="O59" s="168"/>
      <c r="P59" s="168"/>
    </row>
    <row r="60" spans="1:16" ht="30" customHeight="1">
      <c r="A60" s="216">
        <f t="shared" si="10"/>
        <v>48</v>
      </c>
      <c r="B60" s="212" t="str">
        <f t="shared" si="11"/>
        <v>OK</v>
      </c>
      <c r="C60" s="492" t="s">
        <v>1675</v>
      </c>
      <c r="D60" s="492"/>
      <c r="E60" s="492"/>
      <c r="F60" s="492"/>
      <c r="G60" s="492"/>
      <c r="H60" s="492"/>
      <c r="I60" s="492"/>
      <c r="J60" s="492"/>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2" t="s">
        <v>1676</v>
      </c>
      <c r="D61" s="492"/>
      <c r="E61" s="492"/>
      <c r="F61" s="492"/>
      <c r="G61" s="492"/>
      <c r="H61" s="492"/>
      <c r="I61" s="492"/>
      <c r="J61" s="492"/>
      <c r="L61" s="173">
        <f>MAX(N61:Q61)</f>
        <v>0</v>
      </c>
      <c r="M61" s="168"/>
      <c r="N61" s="169">
        <f>IF(MIN(NT_D!I9:J14,NT_D!I24:J30,NT_D!I39:J43,NT_D!I53:J54)&lt;0,1,0)</f>
        <v>0</v>
      </c>
      <c r="O61" s="168"/>
      <c r="P61" s="168"/>
    </row>
    <row r="62" spans="1:16" ht="30" customHeight="1">
      <c r="A62" s="216">
        <f>A61+1</f>
        <v>50</v>
      </c>
      <c r="B62" s="212" t="str">
        <f>IF(L62=1,"Pogreška",IF(M62=1,"Provjera","OK"))</f>
        <v>OK</v>
      </c>
      <c r="C62" s="492" t="s">
        <v>1677</v>
      </c>
      <c r="D62" s="492"/>
      <c r="E62" s="492"/>
      <c r="F62" s="492"/>
      <c r="G62" s="492"/>
      <c r="H62" s="492"/>
      <c r="I62" s="492"/>
      <c r="J62" s="492"/>
      <c r="L62" s="173">
        <f>MAX(N62:Q62)</f>
        <v>0</v>
      </c>
      <c r="M62" s="168"/>
      <c r="N62" s="169">
        <f>IF(MAX(NT_D!I15:J21,NT_D!I31:J33,NT_D!I35:J36,NT_D!I44:J49)&gt;0,1,0)</f>
        <v>0</v>
      </c>
      <c r="O62" s="168"/>
      <c r="P62" s="168"/>
    </row>
    <row r="63" spans="1:17" ht="44.25" customHeight="1">
      <c r="A63" s="216">
        <f>A62+1</f>
        <v>51</v>
      </c>
      <c r="B63" s="212" t="str">
        <f>IF(L63=1,"Pogreška",IF(M63=1,"Provjera","OK"))</f>
        <v>OK</v>
      </c>
      <c r="C63" s="492" t="s">
        <v>2913</v>
      </c>
      <c r="D63" s="492"/>
      <c r="E63" s="492"/>
      <c r="F63" s="492"/>
      <c r="G63" s="492"/>
      <c r="H63" s="492"/>
      <c r="I63" s="492"/>
      <c r="J63" s="492"/>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2" t="s">
        <v>2914</v>
      </c>
      <c r="D64" s="492"/>
      <c r="E64" s="492"/>
      <c r="F64" s="492"/>
      <c r="G64" s="492"/>
      <c r="H64" s="492"/>
      <c r="I64" s="492"/>
      <c r="J64" s="492"/>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2" t="s">
        <v>2915</v>
      </c>
      <c r="D65" s="492"/>
      <c r="E65" s="492"/>
      <c r="F65" s="492"/>
      <c r="G65" s="492"/>
      <c r="H65" s="492"/>
      <c r="I65" s="492"/>
      <c r="J65" s="492"/>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495" t="s">
        <v>776</v>
      </c>
      <c r="D68" s="496"/>
      <c r="E68" s="496"/>
      <c r="F68" s="496"/>
      <c r="G68" s="496"/>
      <c r="H68" s="496"/>
      <c r="I68" s="496"/>
      <c r="J68" s="497"/>
      <c r="L68" s="173">
        <f>MAX(N68:Q68)</f>
        <v>0</v>
      </c>
      <c r="M68" s="168"/>
      <c r="N68" s="169">
        <f>IF(AND(S3=4,AA4&lt;&gt;"MSFI",S6&lt;&gt;"DA"),1,0)</f>
        <v>0</v>
      </c>
      <c r="O68" s="169"/>
      <c r="P68" s="168"/>
    </row>
    <row r="69" spans="1:16" ht="30" customHeight="1">
      <c r="A69" s="216">
        <f t="shared" si="6"/>
        <v>57</v>
      </c>
      <c r="B69" s="212" t="str">
        <f t="shared" si="8"/>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2" t="s">
        <v>2928</v>
      </c>
      <c r="D71" s="496"/>
      <c r="E71" s="496"/>
      <c r="F71" s="496"/>
      <c r="G71" s="496"/>
      <c r="H71" s="496"/>
      <c r="I71" s="496"/>
      <c r="J71" s="497"/>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494" t="s">
        <v>1296</v>
      </c>
      <c r="D72" s="494"/>
      <c r="E72" s="494"/>
      <c r="F72" s="494"/>
      <c r="G72" s="494"/>
      <c r="H72" s="494"/>
      <c r="I72" s="494"/>
      <c r="J72" s="494"/>
      <c r="L72" s="173">
        <f>MAX(N72:O72)</f>
        <v>0</v>
      </c>
      <c r="M72" s="169">
        <f>MAX(S72:W72)</f>
        <v>0</v>
      </c>
      <c r="N72" s="169">
        <f>IF(MIN(Dodatni!I9:J67,Dodatni!I71:I88)&lt;0,1,0)</f>
        <v>0</v>
      </c>
      <c r="O72" s="168"/>
      <c r="P72" s="169"/>
      <c r="Q72" s="170"/>
      <c r="S72" s="171">
        <f>IF(MIN(Dodatni!I68:J70)&lt;0,1,0)</f>
        <v>0</v>
      </c>
    </row>
    <row r="73" spans="1:16" ht="19.5" customHeight="1">
      <c r="A73" s="501" t="s">
        <v>925</v>
      </c>
      <c r="B73" s="502"/>
      <c r="C73" s="502"/>
      <c r="D73" s="502"/>
      <c r="E73" s="502"/>
      <c r="F73" s="502"/>
      <c r="G73" s="502"/>
      <c r="H73" s="502"/>
      <c r="I73" s="502"/>
      <c r="J73" s="503"/>
      <c r="L73" s="168">
        <f>MAX(N73:R73)</f>
        <v>0</v>
      </c>
      <c r="M73" s="168"/>
      <c r="N73" s="168"/>
      <c r="O73" s="168"/>
      <c r="P73" s="168"/>
    </row>
    <row r="74" spans="1:17" ht="33" customHeight="1">
      <c r="A74" s="215">
        <f>A72+1</f>
        <v>61</v>
      </c>
      <c r="B74" s="211" t="str">
        <f aca="true" t="shared" si="12" ref="B74:B88">IF(L74=1,"Pogreška",IF(M74=1,"Provjera","OK"))</f>
        <v>OK</v>
      </c>
      <c r="C74" s="493" t="s">
        <v>1836</v>
      </c>
      <c r="D74" s="493"/>
      <c r="E74" s="493"/>
      <c r="F74" s="493"/>
      <c r="G74" s="493"/>
      <c r="H74" s="493"/>
      <c r="I74" s="493"/>
      <c r="J74" s="493"/>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2" t="s">
        <v>1837</v>
      </c>
      <c r="D75" s="492"/>
      <c r="E75" s="492"/>
      <c r="F75" s="492"/>
      <c r="G75" s="492"/>
      <c r="H75" s="492"/>
      <c r="I75" s="492"/>
      <c r="J75" s="492"/>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2" t="s">
        <v>2141</v>
      </c>
      <c r="D76" s="492"/>
      <c r="E76" s="492"/>
      <c r="F76" s="492"/>
      <c r="G76" s="492"/>
      <c r="H76" s="492"/>
      <c r="I76" s="492"/>
      <c r="J76" s="492"/>
      <c r="L76" s="168">
        <f>MAX(N76:R76)</f>
        <v>0</v>
      </c>
      <c r="M76" s="169">
        <f>MAX(S76:W76)</f>
        <v>0</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0</v>
      </c>
      <c r="T76" s="169">
        <f>IF(AND($O$4=1,SUM(Dodatni!J25:J26)+SUM(Dodatni!J28:J30)+SUM(Dodatni!J32:J35)-RDG!J9-RDG!J10-1&gt;0),1,0)</f>
        <v>0</v>
      </c>
    </row>
    <row r="77" spans="1:17" ht="19.5" customHeight="1">
      <c r="A77" s="216">
        <f t="shared" si="13"/>
        <v>64</v>
      </c>
      <c r="B77" s="212" t="str">
        <f t="shared" si="12"/>
        <v>OK</v>
      </c>
      <c r="C77" s="492" t="s">
        <v>1647</v>
      </c>
      <c r="D77" s="492"/>
      <c r="E77" s="492"/>
      <c r="F77" s="492"/>
      <c r="G77" s="492"/>
      <c r="H77" s="492"/>
      <c r="I77" s="492"/>
      <c r="J77" s="492"/>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2" t="s">
        <v>2917</v>
      </c>
      <c r="D78" s="492"/>
      <c r="E78" s="492"/>
      <c r="F78" s="492"/>
      <c r="G78" s="492"/>
      <c r="H78" s="492"/>
      <c r="I78" s="492"/>
      <c r="J78" s="492"/>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2" t="s">
        <v>1648</v>
      </c>
      <c r="D79" s="492"/>
      <c r="E79" s="492"/>
      <c r="F79" s="492"/>
      <c r="G79" s="492"/>
      <c r="H79" s="492"/>
      <c r="I79" s="492"/>
      <c r="J79" s="492"/>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2" t="s">
        <v>1649</v>
      </c>
      <c r="D80" s="492"/>
      <c r="E80" s="492"/>
      <c r="F80" s="492"/>
      <c r="G80" s="492"/>
      <c r="H80" s="492"/>
      <c r="I80" s="492"/>
      <c r="J80" s="492"/>
      <c r="L80" s="168">
        <f t="shared" si="14"/>
        <v>0</v>
      </c>
      <c r="M80" s="168"/>
      <c r="N80" s="169">
        <f>IF(Dodatni!I23&gt;RDG!I9,1,0)</f>
        <v>0</v>
      </c>
      <c r="O80" s="169">
        <f>IF(Dodatni!J23&gt;RDG!J9,1,0)</f>
        <v>0</v>
      </c>
      <c r="P80" s="169"/>
      <c r="Q80" s="170"/>
    </row>
    <row r="81" spans="1:17" ht="19.5" customHeight="1">
      <c r="A81" s="216">
        <f t="shared" si="13"/>
        <v>68</v>
      </c>
      <c r="B81" s="212" t="str">
        <f t="shared" si="12"/>
        <v>OK</v>
      </c>
      <c r="C81" s="492" t="s">
        <v>1650</v>
      </c>
      <c r="D81" s="492"/>
      <c r="E81" s="492"/>
      <c r="F81" s="492"/>
      <c r="G81" s="492"/>
      <c r="H81" s="492"/>
      <c r="I81" s="492"/>
      <c r="J81" s="492"/>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2" t="s">
        <v>1651</v>
      </c>
      <c r="D82" s="492"/>
      <c r="E82" s="492"/>
      <c r="F82" s="492"/>
      <c r="G82" s="492"/>
      <c r="H82" s="492"/>
      <c r="I82" s="492"/>
      <c r="J82" s="492"/>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2" t="s">
        <v>1652</v>
      </c>
      <c r="D83" s="492"/>
      <c r="E83" s="492"/>
      <c r="F83" s="492"/>
      <c r="G83" s="492"/>
      <c r="H83" s="492"/>
      <c r="I83" s="492"/>
      <c r="J83" s="492"/>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2" t="s">
        <v>1653</v>
      </c>
      <c r="D84" s="492"/>
      <c r="E84" s="492"/>
      <c r="F84" s="492"/>
      <c r="G84" s="492"/>
      <c r="H84" s="492"/>
      <c r="I84" s="492"/>
      <c r="J84" s="492"/>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2" t="s">
        <v>1654</v>
      </c>
      <c r="D85" s="492"/>
      <c r="E85" s="492"/>
      <c r="F85" s="492"/>
      <c r="G85" s="492"/>
      <c r="H85" s="492"/>
      <c r="I85" s="492"/>
      <c r="J85" s="492"/>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2" t="s">
        <v>1655</v>
      </c>
      <c r="D86" s="492"/>
      <c r="E86" s="492"/>
      <c r="F86" s="492"/>
      <c r="G86" s="492"/>
      <c r="H86" s="492"/>
      <c r="I86" s="492"/>
      <c r="J86" s="492"/>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2" t="s">
        <v>1656</v>
      </c>
      <c r="D87" s="492"/>
      <c r="E87" s="492"/>
      <c r="F87" s="492"/>
      <c r="G87" s="492"/>
      <c r="H87" s="492"/>
      <c r="I87" s="492"/>
      <c r="J87" s="492"/>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2" t="s">
        <v>1657</v>
      </c>
      <c r="D88" s="492"/>
      <c r="E88" s="492"/>
      <c r="F88" s="492"/>
      <c r="G88" s="492"/>
      <c r="H88" s="492"/>
      <c r="I88" s="492"/>
      <c r="J88" s="492"/>
      <c r="L88" s="168">
        <f t="shared" si="14"/>
        <v>0</v>
      </c>
      <c r="M88" s="168"/>
      <c r="N88" s="168">
        <f>IF(Dodatni!I73&gt;RDG!I37,1,0)</f>
        <v>0</v>
      </c>
      <c r="O88" s="168">
        <f>IF(Dodatni!J73&gt;RDG!J37,1,0)</f>
        <v>0</v>
      </c>
      <c r="P88" s="168"/>
    </row>
    <row r="89" spans="1:16" ht="19.5" customHeight="1">
      <c r="A89" s="216">
        <f>A88+1</f>
        <v>76</v>
      </c>
      <c r="B89" s="212" t="str">
        <f>IF(L89=1,"Pogreška",IF(M89=1,"Provjera","OK"))</f>
        <v>OK</v>
      </c>
      <c r="C89" s="492" t="s">
        <v>1693</v>
      </c>
      <c r="D89" s="492"/>
      <c r="E89" s="492"/>
      <c r="F89" s="492"/>
      <c r="G89" s="492"/>
      <c r="H89" s="492"/>
      <c r="I89" s="492"/>
      <c r="J89" s="492"/>
      <c r="L89" s="168">
        <f t="shared" si="14"/>
        <v>0</v>
      </c>
      <c r="M89" s="168"/>
      <c r="N89" s="168">
        <f>IF(Dodatni!I76&gt;RDG!I48,1,0)</f>
        <v>0</v>
      </c>
      <c r="O89" s="168">
        <f>IF(Dodatni!J76&gt;RDG!J48,1,0)</f>
        <v>0</v>
      </c>
      <c r="P89" s="168"/>
    </row>
    <row r="90" spans="1:16" ht="19.5" customHeight="1">
      <c r="A90" s="216">
        <f>A89+1</f>
        <v>77</v>
      </c>
      <c r="B90" s="212" t="str">
        <f>IF(L90=1,"Pogreška",IF(M90=1,"Provjera","OK"))</f>
        <v>OK</v>
      </c>
      <c r="C90" s="492" t="s">
        <v>1694</v>
      </c>
      <c r="D90" s="492"/>
      <c r="E90" s="492"/>
      <c r="F90" s="492"/>
      <c r="G90" s="492"/>
      <c r="H90" s="492"/>
      <c r="I90" s="492"/>
      <c r="J90" s="492"/>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13"/>
        <v>83</v>
      </c>
      <c r="B96" s="212" t="str">
        <f t="shared" si="15"/>
        <v>OK</v>
      </c>
      <c r="C96" s="492" t="s">
        <v>2161</v>
      </c>
      <c r="D96" s="492"/>
      <c r="E96" s="492"/>
      <c r="F96" s="492"/>
      <c r="G96" s="492"/>
      <c r="H96" s="492"/>
      <c r="I96" s="492"/>
      <c r="J96" s="492"/>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2" t="s">
        <v>2996</v>
      </c>
      <c r="D97" s="492"/>
      <c r="E97" s="492"/>
      <c r="F97" s="492"/>
      <c r="G97" s="492"/>
      <c r="H97" s="492"/>
      <c r="I97" s="492"/>
      <c r="J97" s="492"/>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2" t="s">
        <v>1699</v>
      </c>
      <c r="D98" s="492"/>
      <c r="E98" s="492"/>
      <c r="F98" s="492"/>
      <c r="G98" s="492"/>
      <c r="H98" s="492"/>
      <c r="I98" s="492"/>
      <c r="J98" s="492"/>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2" t="s">
        <v>1215</v>
      </c>
      <c r="D99" s="492"/>
      <c r="E99" s="492"/>
      <c r="F99" s="492"/>
      <c r="G99" s="492"/>
      <c r="H99" s="492"/>
      <c r="I99" s="492"/>
      <c r="J99" s="492"/>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2" t="s">
        <v>2997</v>
      </c>
      <c r="D100" s="492"/>
      <c r="E100" s="492"/>
      <c r="F100" s="492"/>
      <c r="G100" s="492"/>
      <c r="H100" s="492"/>
      <c r="I100" s="492"/>
      <c r="J100" s="492"/>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Provjera</v>
      </c>
      <c r="C101" s="492" t="s">
        <v>2541</v>
      </c>
      <c r="D101" s="492"/>
      <c r="E101" s="492"/>
      <c r="F101" s="492"/>
      <c r="G101" s="492"/>
      <c r="H101" s="492"/>
      <c r="I101" s="492"/>
      <c r="J101" s="492"/>
      <c r="L101" s="168">
        <v>0</v>
      </c>
      <c r="M101" s="168">
        <f t="shared" si="16"/>
        <v>1</v>
      </c>
      <c r="N101" s="168">
        <f>IF(AND(OR(S7=2,S7=3,S7=5,S7=6,S7=7),MIN(RDG!I9:J9,RDG!I12:J12)=0),1,0)</f>
        <v>1</v>
      </c>
      <c r="O101" s="168"/>
      <c r="P101" s="168"/>
    </row>
    <row r="102" spans="1:23" ht="30" customHeight="1">
      <c r="A102" s="216">
        <f t="shared" si="13"/>
        <v>89</v>
      </c>
      <c r="B102" s="212" t="str">
        <f t="shared" si="17"/>
        <v>OK</v>
      </c>
      <c r="C102" s="492" t="s">
        <v>2542</v>
      </c>
      <c r="D102" s="492"/>
      <c r="E102" s="492"/>
      <c r="F102" s="492"/>
      <c r="G102" s="492"/>
      <c r="H102" s="492"/>
      <c r="I102" s="492"/>
      <c r="J102" s="492"/>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2" t="s">
        <v>2543</v>
      </c>
      <c r="D103" s="492"/>
      <c r="E103" s="492"/>
      <c r="F103" s="492"/>
      <c r="G103" s="492"/>
      <c r="H103" s="492"/>
      <c r="I103" s="492"/>
      <c r="J103" s="492"/>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2" t="s">
        <v>2544</v>
      </c>
      <c r="D104" s="492"/>
      <c r="E104" s="492"/>
      <c r="F104" s="492"/>
      <c r="G104" s="492"/>
      <c r="H104" s="492"/>
      <c r="I104" s="492"/>
      <c r="J104" s="492"/>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2" t="s">
        <v>3000</v>
      </c>
      <c r="D105" s="492"/>
      <c r="E105" s="492"/>
      <c r="F105" s="492"/>
      <c r="G105" s="492"/>
      <c r="H105" s="492"/>
      <c r="I105" s="492"/>
      <c r="J105" s="492"/>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494" t="s">
        <v>541</v>
      </c>
      <c r="D108" s="494"/>
      <c r="E108" s="494"/>
      <c r="F108" s="494"/>
      <c r="G108" s="494"/>
      <c r="H108" s="494"/>
      <c r="I108" s="494"/>
      <c r="J108" s="494"/>
      <c r="L108" s="168">
        <f>MAX(N108:R108)</f>
        <v>0</v>
      </c>
      <c r="M108" s="173"/>
      <c r="N108" s="173">
        <f>IF(MID(P108,2,1)&lt;&gt;".",1,0)</f>
        <v>0</v>
      </c>
      <c r="O108" s="173">
        <f>IF(MID(P108,6,1)&lt;&gt;",",1,0)</f>
        <v>0</v>
      </c>
      <c r="P108" s="168" t="str">
        <f>TEXT(1000.1,"#.000,00")</f>
        <v>1.000,10</v>
      </c>
    </row>
    <row r="109" spans="1:10" ht="19.5" customHeight="1">
      <c r="A109" s="498" t="s">
        <v>2444</v>
      </c>
      <c r="B109" s="499"/>
      <c r="C109" s="499"/>
      <c r="D109" s="499"/>
      <c r="E109" s="499"/>
      <c r="F109" s="499"/>
      <c r="G109" s="499"/>
      <c r="H109" s="499"/>
      <c r="I109" s="499"/>
      <c r="J109" s="500"/>
    </row>
    <row r="110" spans="1:17" ht="54" customHeight="1">
      <c r="A110" s="215">
        <f>A108+1</f>
        <v>96</v>
      </c>
      <c r="B110" s="214" t="str">
        <f aca="true" t="shared" si="18"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A110+1</f>
        <v>97</v>
      </c>
      <c r="B111" s="212" t="str">
        <f t="shared" si="18"/>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9"/>
        <v>99</v>
      </c>
      <c r="B113" s="212" t="str">
        <f t="shared" si="18"/>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2" t="s">
        <v>2860</v>
      </c>
      <c r="D120" s="492"/>
      <c r="E120" s="492"/>
      <c r="F120" s="492"/>
      <c r="G120" s="492"/>
      <c r="H120" s="492"/>
      <c r="I120" s="492"/>
      <c r="J120" s="492"/>
      <c r="L120" s="173">
        <f>MAX(N120:N120)</f>
        <v>0</v>
      </c>
      <c r="M120" s="173"/>
      <c r="N120" s="173">
        <f>IF(ISERROR(P120),0,1)</f>
        <v>0</v>
      </c>
      <c r="O120" s="168" t="str">
        <f ca="1">CELL("filename")</f>
        <v>Z:\MON PERIN D.O.O\2023\GFI 2023\[GFI-POD MP -KONSOLIDIRANO 2023 NOVI OBRAZAC.xls]PK</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494" t="s">
        <v>2932</v>
      </c>
      <c r="D122" s="494"/>
      <c r="E122" s="494"/>
      <c r="F122" s="494"/>
      <c r="G122" s="494"/>
      <c r="H122" s="494"/>
      <c r="I122" s="494"/>
      <c r="J122" s="494"/>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52:J52"/>
    <mergeCell ref="C98:J98"/>
    <mergeCell ref="C91:J91"/>
    <mergeCell ref="C92:J92"/>
    <mergeCell ref="C64:J64"/>
    <mergeCell ref="C65:J65"/>
    <mergeCell ref="C63:J63"/>
    <mergeCell ref="C60:J60"/>
    <mergeCell ref="C61:J61"/>
    <mergeCell ref="C62:J62"/>
    <mergeCell ref="C100:J100"/>
    <mergeCell ref="C79:J79"/>
    <mergeCell ref="C88:J88"/>
    <mergeCell ref="C51:J51"/>
    <mergeCell ref="C57:J57"/>
    <mergeCell ref="C95:J95"/>
    <mergeCell ref="C59:J59"/>
    <mergeCell ref="C56:J56"/>
    <mergeCell ref="C54:J54"/>
    <mergeCell ref="C55:J55"/>
    <mergeCell ref="C106:J106"/>
    <mergeCell ref="C107:J107"/>
    <mergeCell ref="C102:J102"/>
    <mergeCell ref="C104:J104"/>
    <mergeCell ref="C103:J103"/>
    <mergeCell ref="C105:J105"/>
    <mergeCell ref="C101:J101"/>
    <mergeCell ref="C78:J78"/>
    <mergeCell ref="C33:J33"/>
    <mergeCell ref="C34:J34"/>
    <mergeCell ref="C44:J44"/>
    <mergeCell ref="A43:J43"/>
    <mergeCell ref="C45:J45"/>
    <mergeCell ref="C58:J58"/>
    <mergeCell ref="C53:J53"/>
    <mergeCell ref="C47:J47"/>
    <mergeCell ref="C50:J50"/>
    <mergeCell ref="C28:J28"/>
    <mergeCell ref="C27:J27"/>
    <mergeCell ref="C41:J41"/>
    <mergeCell ref="C32:J32"/>
    <mergeCell ref="C29:J29"/>
    <mergeCell ref="C31:J31"/>
    <mergeCell ref="C30:J30"/>
    <mergeCell ref="C39:J39"/>
    <mergeCell ref="C37:J37"/>
    <mergeCell ref="C49:J49"/>
    <mergeCell ref="C40:J40"/>
    <mergeCell ref="C46:J46"/>
    <mergeCell ref="C9:J10"/>
    <mergeCell ref="C48:J48"/>
    <mergeCell ref="C36:J36"/>
    <mergeCell ref="C42:J42"/>
    <mergeCell ref="C21:J21"/>
    <mergeCell ref="A11:J11"/>
    <mergeCell ref="A9:B10"/>
    <mergeCell ref="C26:J26"/>
    <mergeCell ref="C12:J12"/>
    <mergeCell ref="C13:J13"/>
    <mergeCell ref="A3:H8"/>
    <mergeCell ref="I8:J8"/>
    <mergeCell ref="I3:J3"/>
    <mergeCell ref="I5:J5"/>
    <mergeCell ref="I6:J6"/>
    <mergeCell ref="C17:J17"/>
    <mergeCell ref="C20:J20"/>
    <mergeCell ref="C97:J97"/>
    <mergeCell ref="C99:J99"/>
    <mergeCell ref="C81:J81"/>
    <mergeCell ref="C96:J96"/>
    <mergeCell ref="C87:J87"/>
    <mergeCell ref="C93:J93"/>
    <mergeCell ref="C90:J90"/>
    <mergeCell ref="C89:J89"/>
    <mergeCell ref="C83:J83"/>
    <mergeCell ref="C82:J82"/>
    <mergeCell ref="C122:J122"/>
    <mergeCell ref="C121:J121"/>
    <mergeCell ref="C120:J120"/>
    <mergeCell ref="C110:J110"/>
    <mergeCell ref="C112:J112"/>
    <mergeCell ref="C111:J111"/>
    <mergeCell ref="C119:J119"/>
    <mergeCell ref="C118:J118"/>
    <mergeCell ref="C94:J94"/>
    <mergeCell ref="C86:J86"/>
    <mergeCell ref="A73:J73"/>
    <mergeCell ref="C71:J71"/>
    <mergeCell ref="C85:J85"/>
    <mergeCell ref="C76:J76"/>
    <mergeCell ref="C80:J80"/>
    <mergeCell ref="C84:J84"/>
    <mergeCell ref="C77:J77"/>
    <mergeCell ref="C108:J108"/>
    <mergeCell ref="C117:J117"/>
    <mergeCell ref="A109:J109"/>
    <mergeCell ref="C116:J116"/>
    <mergeCell ref="C113:J113"/>
    <mergeCell ref="C114:J114"/>
    <mergeCell ref="C115:J115"/>
    <mergeCell ref="C35:J35"/>
    <mergeCell ref="C75:J75"/>
    <mergeCell ref="C70:J70"/>
    <mergeCell ref="C67:J67"/>
    <mergeCell ref="C69:J69"/>
    <mergeCell ref="C74:J74"/>
    <mergeCell ref="C72:J72"/>
    <mergeCell ref="C66:J66"/>
    <mergeCell ref="C68:J68"/>
    <mergeCell ref="C38:J38"/>
    <mergeCell ref="C25:J25"/>
    <mergeCell ref="C14:J14"/>
    <mergeCell ref="C22:J22"/>
    <mergeCell ref="C23:J23"/>
    <mergeCell ref="C24:J24"/>
    <mergeCell ref="C19:J19"/>
    <mergeCell ref="C16:J16"/>
    <mergeCell ref="C18:J18"/>
    <mergeCell ref="C15:J1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B16" sqref="B16:J16"/>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61" t="s">
        <v>2832</v>
      </c>
      <c r="B2" s="262"/>
      <c r="C2" s="262"/>
      <c r="D2" s="262"/>
      <c r="E2" s="262"/>
      <c r="F2" s="262"/>
      <c r="G2" s="262"/>
      <c r="H2" s="262"/>
      <c r="I2" s="262"/>
      <c r="J2" s="263"/>
    </row>
    <row r="3" spans="1:10" ht="20.25" customHeight="1">
      <c r="A3" s="276" t="s">
        <v>672</v>
      </c>
      <c r="B3" s="268"/>
      <c r="C3" s="277"/>
      <c r="D3" s="273" t="s">
        <v>1247</v>
      </c>
      <c r="E3" s="274"/>
      <c r="F3" s="274"/>
      <c r="G3" s="274"/>
      <c r="H3" s="274"/>
      <c r="I3" s="274"/>
      <c r="J3" s="275"/>
    </row>
    <row r="4" spans="1:10" ht="33" customHeight="1">
      <c r="A4" s="270" t="s">
        <v>2831</v>
      </c>
      <c r="B4" s="271"/>
      <c r="C4" s="271"/>
      <c r="D4" s="271"/>
      <c r="E4" s="271"/>
      <c r="F4" s="271"/>
      <c r="G4" s="271"/>
      <c r="H4" s="271"/>
      <c r="I4" s="271"/>
      <c r="J4" s="272"/>
    </row>
    <row r="5" spans="1:10" ht="18.75" customHeight="1">
      <c r="A5" s="58" t="s">
        <v>1325</v>
      </c>
      <c r="B5" s="264" t="s">
        <v>1240</v>
      </c>
      <c r="C5" s="265"/>
      <c r="D5" s="265"/>
      <c r="E5" s="265"/>
      <c r="F5" s="265"/>
      <c r="G5" s="265"/>
      <c r="H5" s="265"/>
      <c r="I5" s="265"/>
      <c r="J5" s="266"/>
    </row>
    <row r="6" spans="1:10" ht="18.75" customHeight="1" hidden="1">
      <c r="A6" s="59" t="s">
        <v>1242</v>
      </c>
      <c r="B6" s="267" t="s">
        <v>1241</v>
      </c>
      <c r="C6" s="268"/>
      <c r="D6" s="268"/>
      <c r="E6" s="268"/>
      <c r="F6" s="268"/>
      <c r="G6" s="268"/>
      <c r="H6" s="268"/>
      <c r="I6" s="268"/>
      <c r="J6" s="269"/>
    </row>
    <row r="7" spans="1:10" ht="95.25" customHeight="1" hidden="1">
      <c r="A7" s="59" t="s">
        <v>2232</v>
      </c>
      <c r="B7" s="258" t="s">
        <v>2233</v>
      </c>
      <c r="C7" s="259"/>
      <c r="D7" s="259"/>
      <c r="E7" s="259"/>
      <c r="F7" s="259"/>
      <c r="G7" s="259"/>
      <c r="H7" s="259"/>
      <c r="I7" s="259"/>
      <c r="J7" s="260"/>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5:J15"/>
    <mergeCell ref="A2:J2"/>
    <mergeCell ref="B5:J5"/>
    <mergeCell ref="B6:J6"/>
    <mergeCell ref="A4:J4"/>
    <mergeCell ref="D3:J3"/>
    <mergeCell ref="A3:C3"/>
    <mergeCell ref="B17:J17"/>
    <mergeCell ref="B9:J9"/>
    <mergeCell ref="B8:J8"/>
    <mergeCell ref="B7:J7"/>
    <mergeCell ref="B11:J11"/>
    <mergeCell ref="B10:J10"/>
    <mergeCell ref="B12:J12"/>
    <mergeCell ref="B16:J16"/>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6" activePane="bottomLeft" state="frozen"/>
      <selection pane="topLeft" activeCell="A1" sqref="A1"/>
      <selection pane="bottomLeft" activeCell="J70" sqref="J70"/>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53" t="s">
        <v>2078</v>
      </c>
      <c r="B2" s="354"/>
      <c r="C2" s="354"/>
      <c r="D2" s="354"/>
      <c r="E2" s="354"/>
      <c r="F2" s="354"/>
      <c r="G2" s="354"/>
      <c r="H2" s="354"/>
      <c r="I2" s="354"/>
      <c r="J2" s="354"/>
      <c r="K2" s="354"/>
      <c r="L2" s="354"/>
      <c r="M2" s="354"/>
      <c r="N2" s="355"/>
      <c r="O2" s="3"/>
      <c r="P2" s="47"/>
      <c r="Q2" s="46">
        <f>IF(F4&lt;&gt;"",YEAR(F4),"")</f>
        <v>2023</v>
      </c>
    </row>
    <row r="3" spans="1:17" s="122" customFormat="1" ht="22.5" customHeight="1">
      <c r="A3" s="35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0"/>
      <c r="C3" s="360"/>
      <c r="D3" s="360"/>
      <c r="E3" s="360"/>
      <c r="F3" s="360"/>
      <c r="G3" s="360"/>
      <c r="H3" s="360"/>
      <c r="I3" s="360"/>
      <c r="J3" s="360"/>
      <c r="K3" s="360"/>
      <c r="L3" s="360"/>
      <c r="M3" s="360"/>
      <c r="N3" s="361"/>
      <c r="O3" s="3"/>
      <c r="P3" s="47"/>
      <c r="Q3" s="47"/>
    </row>
    <row r="4" spans="1:17" s="122" customFormat="1" ht="15" customHeight="1">
      <c r="A4" s="356" t="s">
        <v>1987</v>
      </c>
      <c r="B4" s="357"/>
      <c r="C4" s="351">
        <v>44927</v>
      </c>
      <c r="D4" s="352"/>
      <c r="E4" s="7" t="s">
        <v>1997</v>
      </c>
      <c r="F4" s="351">
        <v>45291</v>
      </c>
      <c r="G4" s="352"/>
      <c r="H4" s="358" t="s">
        <v>816</v>
      </c>
      <c r="I4" s="297"/>
      <c r="J4" s="297"/>
      <c r="K4" s="297"/>
      <c r="L4" s="297"/>
      <c r="M4" s="297"/>
      <c r="N4" s="297"/>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62" t="s">
        <v>1111</v>
      </c>
      <c r="B6" s="363"/>
      <c r="C6" s="363"/>
      <c r="D6" s="363"/>
      <c r="E6" s="363"/>
      <c r="F6" s="364"/>
      <c r="G6" s="254" t="s">
        <v>419</v>
      </c>
      <c r="H6" s="6"/>
      <c r="I6" s="6"/>
      <c r="J6" s="123"/>
      <c r="K6" s="123"/>
      <c r="L6" s="123"/>
      <c r="M6" s="41" t="s">
        <v>2054</v>
      </c>
      <c r="N6" s="30" t="s">
        <v>2714</v>
      </c>
      <c r="O6" s="3"/>
      <c r="P6" s="47"/>
      <c r="Q6" s="47"/>
    </row>
    <row r="7" spans="1:17" s="122" customFormat="1" ht="15" customHeight="1">
      <c r="A7" s="356" t="s">
        <v>1996</v>
      </c>
      <c r="B7" s="357"/>
      <c r="C7" s="218">
        <v>4</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68" t="s">
        <v>2109</v>
      </c>
      <c r="B10" s="369"/>
      <c r="C10" s="135"/>
      <c r="D10" s="135"/>
      <c r="E10" s="131"/>
      <c r="F10" s="132"/>
      <c r="G10" s="133"/>
      <c r="H10" s="130"/>
      <c r="I10" s="130"/>
      <c r="J10" s="130"/>
      <c r="K10" s="365" t="s">
        <v>1937</v>
      </c>
      <c r="L10" s="366"/>
      <c r="M10" s="366"/>
      <c r="N10" s="367"/>
      <c r="P10" s="47" t="s">
        <v>1798</v>
      </c>
      <c r="Q10" s="48">
        <f>IF(F4&lt;&gt;"",YEAR(F4)/100+MONTH(F4)/2+DAY(F4),0)</f>
        <v>57.230000000000004</v>
      </c>
    </row>
    <row r="11" spans="1:17" ht="30" customHeight="1">
      <c r="A11" s="381" t="s">
        <v>1451</v>
      </c>
      <c r="B11" s="382"/>
      <c r="C11" s="382"/>
      <c r="D11" s="382"/>
      <c r="E11" s="382"/>
      <c r="F11" s="382"/>
      <c r="G11" s="382"/>
      <c r="H11" s="382"/>
      <c r="I11" s="382"/>
      <c r="J11" s="382"/>
      <c r="K11" s="382"/>
      <c r="L11" s="382"/>
      <c r="M11" s="382"/>
      <c r="N11" s="382"/>
      <c r="P11" s="47" t="s">
        <v>1799</v>
      </c>
      <c r="Q11" s="48">
        <f>INT(VALUE(C17))</f>
        <v>10</v>
      </c>
    </row>
    <row r="12" spans="4:17" ht="19.5" customHeight="1">
      <c r="D12" s="130"/>
      <c r="E12" s="136" t="s">
        <v>508</v>
      </c>
      <c r="F12" s="377">
        <v>2023</v>
      </c>
      <c r="G12" s="378"/>
      <c r="H12" s="370" t="s">
        <v>1455</v>
      </c>
      <c r="I12" s="371"/>
      <c r="J12" s="371"/>
      <c r="K12" s="130"/>
      <c r="L12" s="130"/>
      <c r="M12" s="130"/>
      <c r="N12" s="130"/>
      <c r="P12" s="47" t="s">
        <v>2688</v>
      </c>
      <c r="Q12" s="48">
        <f>INT(VALUE(H27))/10</f>
        <v>201372</v>
      </c>
    </row>
    <row r="13" spans="4:17" ht="9.75" customHeight="1">
      <c r="D13" s="130"/>
      <c r="E13" s="136"/>
      <c r="H13" s="21"/>
      <c r="I13" s="137"/>
      <c r="J13" s="137"/>
      <c r="K13" s="130"/>
      <c r="L13" s="130"/>
      <c r="M13" s="130"/>
      <c r="N13" s="130"/>
      <c r="P13" s="47" t="s">
        <v>2688</v>
      </c>
      <c r="Q13" s="48">
        <f>INT(VALUE(M27))/50</f>
        <v>804491.74</v>
      </c>
    </row>
    <row r="14" spans="1:17" ht="15">
      <c r="A14" s="385" t="s">
        <v>494</v>
      </c>
      <c r="B14" s="385"/>
      <c r="C14" s="385"/>
      <c r="D14" s="138"/>
      <c r="E14" s="139"/>
      <c r="F14" s="383"/>
      <c r="G14" s="384"/>
      <c r="H14" s="384"/>
      <c r="I14" s="130"/>
      <c r="J14" s="375" t="s">
        <v>1450</v>
      </c>
      <c r="K14" s="376"/>
      <c r="L14" s="376"/>
      <c r="M14" s="376"/>
      <c r="N14" s="376"/>
      <c r="P14" s="47" t="s">
        <v>498</v>
      </c>
      <c r="Q14" s="48">
        <f>INT(VALUE(C27))/100</f>
        <v>63741552.85</v>
      </c>
    </row>
    <row r="15" spans="1:17" ht="19.5" customHeight="1">
      <c r="A15" s="372">
        <f>Skriveni!B59</f>
        <v>2306304382.05</v>
      </c>
      <c r="B15" s="373"/>
      <c r="C15" s="374"/>
      <c r="D15" s="53"/>
      <c r="E15" s="53"/>
      <c r="F15" s="53"/>
      <c r="G15" s="53"/>
      <c r="H15" s="53"/>
      <c r="I15" s="53"/>
      <c r="J15" s="53"/>
      <c r="K15" s="53"/>
      <c r="L15" s="53"/>
      <c r="M15" s="53"/>
      <c r="N15" s="53"/>
      <c r="P15" s="47" t="s">
        <v>1800</v>
      </c>
      <c r="Q15" s="48">
        <f>LEN(Skriveni!B9)</f>
        <v>14</v>
      </c>
    </row>
    <row r="16" spans="4:17" ht="12.75" customHeight="1">
      <c r="D16" s="53"/>
      <c r="E16" s="53"/>
      <c r="F16" s="53"/>
      <c r="G16" s="53"/>
      <c r="H16" s="53"/>
      <c r="I16" s="53"/>
      <c r="P16" s="47" t="s">
        <v>1801</v>
      </c>
      <c r="Q16" s="48">
        <f>INT(VALUE(C31))/100</f>
        <v>522.11</v>
      </c>
    </row>
    <row r="17" spans="1:17" ht="15" customHeight="1">
      <c r="A17" s="282" t="s">
        <v>2781</v>
      </c>
      <c r="B17" s="283"/>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4</v>
      </c>
    </row>
    <row r="18" spans="1:17" ht="7.5" customHeight="1">
      <c r="A18" s="130"/>
      <c r="B18" s="130"/>
      <c r="C18" s="53"/>
      <c r="D18" s="299"/>
      <c r="E18" s="299"/>
      <c r="F18" s="299"/>
      <c r="G18" s="299"/>
      <c r="H18" s="299"/>
      <c r="I18" s="299"/>
      <c r="J18" s="299"/>
      <c r="K18" s="299"/>
      <c r="L18" s="299"/>
      <c r="M18" s="299"/>
      <c r="N18" s="299"/>
      <c r="Q18" s="48"/>
    </row>
    <row r="19" spans="1:17" ht="15" customHeight="1">
      <c r="A19" s="282" t="s">
        <v>496</v>
      </c>
      <c r="B19" s="283"/>
      <c r="C19" s="30">
        <v>2</v>
      </c>
      <c r="D19" s="388" t="str">
        <f>IF(C19="","Upišite svrhu predaje",IF(ISNA(LOOKUP(C19,A118:A120,A118:A120)),"Nepostojeća ili neprepoznatljiva svrha predaje",IF(LOOKUP(C19,A118:A120,A118:A120)&lt;&gt;C19,"Nepostojeća ili neprepoznatljiva svrha predaje",LOOKUP(C19,A118:A120,B118:B120))))</f>
        <v>Predaja samo u svrhu javne objave</v>
      </c>
      <c r="E19" s="327"/>
      <c r="F19" s="327"/>
      <c r="G19" s="327"/>
      <c r="H19" s="327"/>
      <c r="I19" s="323" t="s">
        <v>815</v>
      </c>
      <c r="J19" s="387"/>
      <c r="K19" s="387"/>
      <c r="L19" s="387"/>
      <c r="M19" s="387"/>
      <c r="N19" s="30" t="s">
        <v>3005</v>
      </c>
      <c r="P19" s="47" t="s">
        <v>1803</v>
      </c>
      <c r="Q19" s="48">
        <f>LEN(Skriveni!B12)</f>
        <v>13</v>
      </c>
    </row>
    <row r="20" spans="1:17" ht="7.5" customHeight="1">
      <c r="A20" s="9"/>
      <c r="B20" s="41"/>
      <c r="C20" s="28"/>
      <c r="D20" s="327"/>
      <c r="E20" s="327"/>
      <c r="F20" s="327"/>
      <c r="G20" s="327"/>
      <c r="H20" s="327"/>
      <c r="I20" s="28"/>
      <c r="M20" s="120"/>
      <c r="N20" s="140"/>
      <c r="Q20" s="48"/>
    </row>
    <row r="21" spans="1:17" ht="15" customHeight="1">
      <c r="A21" s="293" t="s">
        <v>1458</v>
      </c>
      <c r="B21" s="287"/>
      <c r="C21" s="219" t="s">
        <v>2714</v>
      </c>
      <c r="D21" s="166" t="s">
        <v>1461</v>
      </c>
      <c r="E21" s="282" t="s">
        <v>1459</v>
      </c>
      <c r="F21" s="297"/>
      <c r="G21" s="297"/>
      <c r="H21" s="379"/>
      <c r="I21" s="30" t="s">
        <v>2714</v>
      </c>
      <c r="J21" s="386" t="s">
        <v>1460</v>
      </c>
      <c r="K21" s="387"/>
      <c r="L21" s="303" t="s">
        <v>3006</v>
      </c>
      <c r="M21" s="325"/>
      <c r="N21" s="308"/>
      <c r="P21" s="47" t="s">
        <v>1804</v>
      </c>
      <c r="Q21" s="48">
        <f>INT(VALUE(C39))</f>
        <v>5</v>
      </c>
    </row>
    <row r="22" spans="1:17" ht="4.5" customHeight="1">
      <c r="A22" s="20"/>
      <c r="B22" s="20"/>
      <c r="C22" s="20"/>
      <c r="D22" s="20"/>
      <c r="E22" s="20"/>
      <c r="F22" s="20"/>
      <c r="G22" s="20"/>
      <c r="H22" s="20"/>
      <c r="I22" s="20"/>
      <c r="J22" s="20"/>
      <c r="K22" s="20"/>
      <c r="L22" s="20"/>
      <c r="M22" s="20"/>
      <c r="N22" s="20"/>
      <c r="Q22" s="48"/>
    </row>
    <row r="23" spans="1:17" ht="15" customHeight="1">
      <c r="A23" s="293" t="s">
        <v>1889</v>
      </c>
      <c r="B23" s="294"/>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5530</v>
      </c>
    </row>
    <row r="24" spans="1:17" ht="9.75" customHeight="1">
      <c r="A24" s="294"/>
      <c r="B24" s="294"/>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286" t="s">
        <v>1452</v>
      </c>
      <c r="B27" s="295"/>
      <c r="C27" s="303" t="s">
        <v>3007</v>
      </c>
      <c r="D27" s="307"/>
      <c r="E27" s="308"/>
      <c r="F27" s="286" t="s">
        <v>2360</v>
      </c>
      <c r="G27" s="306"/>
      <c r="H27" s="303" t="s">
        <v>3008</v>
      </c>
      <c r="I27" s="304"/>
      <c r="J27" s="286" t="s">
        <v>1449</v>
      </c>
      <c r="K27" s="287"/>
      <c r="L27" s="305"/>
      <c r="M27" s="303" t="s">
        <v>3009</v>
      </c>
      <c r="N27" s="304"/>
      <c r="P27" s="47" t="s">
        <v>1805</v>
      </c>
      <c r="Q27" s="48">
        <f>IF(C21="DA",1,0)</f>
        <v>1</v>
      </c>
    </row>
    <row r="28" spans="1:17" ht="9.75" customHeight="1">
      <c r="A28" s="130"/>
      <c r="B28" s="130"/>
      <c r="C28" s="53"/>
      <c r="D28" s="53"/>
      <c r="E28" s="130"/>
      <c r="F28" s="324" t="s">
        <v>1453</v>
      </c>
      <c r="G28" s="324"/>
      <c r="H28" s="324"/>
      <c r="I28" s="324"/>
      <c r="J28" s="324" t="s">
        <v>1454</v>
      </c>
      <c r="K28" s="324"/>
      <c r="L28" s="324"/>
      <c r="M28" s="324"/>
      <c r="N28" s="324"/>
      <c r="Q28" s="48"/>
    </row>
    <row r="29" spans="1:17" ht="15" customHeight="1">
      <c r="A29" s="282" t="s">
        <v>495</v>
      </c>
      <c r="B29" s="283"/>
      <c r="C29" s="300" t="s">
        <v>3010</v>
      </c>
      <c r="D29" s="301"/>
      <c r="E29" s="301"/>
      <c r="F29" s="301"/>
      <c r="G29" s="301"/>
      <c r="H29" s="301"/>
      <c r="I29" s="301"/>
      <c r="J29" s="301"/>
      <c r="K29" s="301"/>
      <c r="L29" s="302"/>
      <c r="M29" s="53"/>
      <c r="N29" s="53"/>
      <c r="P29" s="47" t="s">
        <v>1806</v>
      </c>
      <c r="Q29" s="48">
        <f>IF(I21="DA",1,0)</f>
        <v>1</v>
      </c>
    </row>
    <row r="30" spans="1:17" ht="4.5" customHeight="1">
      <c r="A30" s="130"/>
      <c r="B30" s="130"/>
      <c r="C30" s="55"/>
      <c r="D30" s="53"/>
      <c r="E30" s="53"/>
      <c r="F30" s="53"/>
      <c r="G30" s="53"/>
      <c r="H30" s="53"/>
      <c r="I30" s="53"/>
      <c r="J30" s="53"/>
      <c r="K30" s="53"/>
      <c r="L30" s="53"/>
      <c r="M30" s="53"/>
      <c r="N30" s="53"/>
      <c r="Q30" s="48"/>
    </row>
    <row r="31" spans="1:17" ht="15" customHeight="1">
      <c r="A31" s="282" t="s">
        <v>2415</v>
      </c>
      <c r="B31" s="283"/>
      <c r="C31" s="62">
        <v>52211</v>
      </c>
      <c r="D31" s="332" t="s">
        <v>2414</v>
      </c>
      <c r="E31" s="333"/>
      <c r="F31" s="300" t="s">
        <v>3011</v>
      </c>
      <c r="G31" s="334"/>
      <c r="H31" s="334"/>
      <c r="I31" s="334"/>
      <c r="J31" s="334"/>
      <c r="K31" s="334"/>
      <c r="L31" s="335"/>
      <c r="N31" s="53"/>
      <c r="P31" s="47" t="s">
        <v>465</v>
      </c>
      <c r="Q31" s="48">
        <f>INT(VALUE(C19))</f>
        <v>2</v>
      </c>
    </row>
    <row r="32" spans="1:17" ht="4.5" customHeight="1">
      <c r="A32" s="130"/>
      <c r="B32" s="130"/>
      <c r="C32" s="53"/>
      <c r="D32" s="53"/>
      <c r="E32" s="53"/>
      <c r="F32" s="53"/>
      <c r="G32" s="53"/>
      <c r="H32" s="53"/>
      <c r="I32" s="53"/>
      <c r="J32" s="53"/>
      <c r="K32" s="53"/>
      <c r="L32" s="53"/>
      <c r="M32" s="53"/>
      <c r="N32" s="53"/>
      <c r="Q32" s="48"/>
    </row>
    <row r="33" spans="1:17" ht="15" customHeight="1">
      <c r="A33" s="282" t="s">
        <v>920</v>
      </c>
      <c r="B33" s="283"/>
      <c r="C33" s="300" t="s">
        <v>3012</v>
      </c>
      <c r="D33" s="301"/>
      <c r="E33" s="301"/>
      <c r="F33" s="301"/>
      <c r="G33" s="301"/>
      <c r="H33" s="301"/>
      <c r="I33" s="301"/>
      <c r="J33" s="301"/>
      <c r="K33" s="301"/>
      <c r="L33" s="302"/>
      <c r="M33" s="53"/>
      <c r="N33" s="53"/>
      <c r="P33" s="47" t="s">
        <v>1807</v>
      </c>
      <c r="Q33" s="48">
        <f>INT(VALUE(Skriveni!B21))</f>
        <v>2</v>
      </c>
    </row>
    <row r="34" spans="1:17" ht="4.5" customHeight="1">
      <c r="A34" s="130"/>
      <c r="B34" s="130"/>
      <c r="C34" s="53"/>
      <c r="D34" s="53"/>
      <c r="E34" s="53"/>
      <c r="F34" s="53"/>
      <c r="G34" s="53"/>
      <c r="H34" s="53"/>
      <c r="I34" s="53"/>
      <c r="J34" s="53"/>
      <c r="K34" s="53"/>
      <c r="L34" s="53"/>
      <c r="M34" s="53"/>
      <c r="N34" s="53"/>
      <c r="Q34" s="48"/>
    </row>
    <row r="35" spans="1:17" ht="15" customHeight="1">
      <c r="A35" s="282" t="s">
        <v>2416</v>
      </c>
      <c r="B35" s="283"/>
      <c r="C35" s="389" t="s">
        <v>3013</v>
      </c>
      <c r="D35" s="390"/>
      <c r="E35" s="390"/>
      <c r="F35" s="390"/>
      <c r="G35" s="390"/>
      <c r="H35" s="390"/>
      <c r="I35" s="391"/>
      <c r="J35" s="283" t="s">
        <v>684</v>
      </c>
      <c r="K35" s="323"/>
      <c r="L35" s="303" t="s">
        <v>3014</v>
      </c>
      <c r="M35" s="325"/>
      <c r="N35" s="308"/>
      <c r="O35" s="47"/>
      <c r="P35" s="47" t="s">
        <v>608</v>
      </c>
      <c r="Q35" s="48">
        <f>INT(VALUE(C52))</f>
        <v>21</v>
      </c>
    </row>
    <row r="36" spans="1:17" ht="4.5" customHeight="1">
      <c r="A36" s="130"/>
      <c r="B36" s="130"/>
      <c r="C36" s="55"/>
      <c r="D36" s="53"/>
      <c r="E36" s="53"/>
      <c r="F36" s="53"/>
      <c r="G36" s="53"/>
      <c r="H36" s="53"/>
      <c r="I36" s="53"/>
      <c r="J36" s="53"/>
      <c r="K36" s="53"/>
      <c r="L36" s="53"/>
      <c r="M36" s="53"/>
      <c r="N36" s="53"/>
      <c r="Q36" s="48"/>
    </row>
    <row r="37" spans="1:17" ht="15" customHeight="1">
      <c r="A37" s="282" t="s">
        <v>1519</v>
      </c>
      <c r="B37" s="283"/>
      <c r="C37" s="331" t="s">
        <v>3015</v>
      </c>
      <c r="D37" s="321"/>
      <c r="E37" s="321"/>
      <c r="F37" s="321"/>
      <c r="G37" s="321"/>
      <c r="H37" s="321"/>
      <c r="I37" s="322"/>
      <c r="P37" s="47" t="s">
        <v>1808</v>
      </c>
      <c r="Q37" s="48">
        <f>C54*2+F54</f>
        <v>199</v>
      </c>
    </row>
    <row r="38" spans="1:17" ht="4.5" customHeight="1">
      <c r="A38" s="130"/>
      <c r="B38" s="130"/>
      <c r="C38" s="55"/>
      <c r="D38" s="53"/>
      <c r="E38" s="53"/>
      <c r="F38" s="53"/>
      <c r="G38" s="53"/>
      <c r="H38" s="53"/>
      <c r="I38" s="53"/>
      <c r="J38" s="53"/>
      <c r="K38" s="53"/>
      <c r="L38" s="53"/>
      <c r="M38" s="53"/>
      <c r="N38" s="53"/>
      <c r="Q38" s="48"/>
    </row>
    <row r="39" spans="1:17" ht="15" customHeight="1">
      <c r="A39" s="282" t="s">
        <v>1448</v>
      </c>
      <c r="B39" s="283"/>
      <c r="C39" s="34">
        <v>5</v>
      </c>
      <c r="D39" s="284" t="str">
        <f>IF(C39="","Upišite šifru grada/općine",IF(ISNA(LOOKUP(C39,A177:A732,A177:A732)),"Šifra grada/općine ne postoji",IF(LOOKUP(C39,A177:A732,A177:A732)&lt;&gt;C39,"Šifra grada/općine ne postoji",LOOKUP(C39,A177:A732,B177:B732))))</f>
        <v>Bale</v>
      </c>
      <c r="E39" s="329"/>
      <c r="F39" s="329"/>
      <c r="G39" s="329"/>
      <c r="H39" s="293" t="s">
        <v>1642</v>
      </c>
      <c r="I39" s="305"/>
      <c r="J39" s="51">
        <f>IF(C39&gt;0,LOOKUP(C39,A177:A732,C177:C732),"")</f>
        <v>18</v>
      </c>
      <c r="K39" s="330" t="str">
        <f>IF(J39="","Upišite šifru grada/općine",LOOKUP(J39,A153:A173,B153:B173))</f>
        <v>ISTARSKA</v>
      </c>
      <c r="L39" s="330"/>
      <c r="M39" s="330"/>
      <c r="N39" s="330"/>
      <c r="P39" s="47" t="s">
        <v>1809</v>
      </c>
      <c r="Q39" s="48">
        <f>C56+2*F56+3*C58+4*F58</f>
        <v>446</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2" t="s">
        <v>2323</v>
      </c>
      <c r="B42" s="283"/>
      <c r="C42" s="35" t="s">
        <v>182</v>
      </c>
      <c r="D42" s="326" t="str">
        <f>IF(C42="","Upišite šifru razreda glavne djelatnosti",IF(ISNA(LOOKUP(C42,A736:A1351,A736:A1351)),"Šifra NKD-a ne postoji",IF(LOOKUP(C42,A736:A1351,A736:A1351)&lt;&gt;C42,"Šifra NKD-a ne postoji",LOOKUP(C42,A736:A1351,B736:B1351))))</f>
        <v>Kampovi i prostori za kampiranje</v>
      </c>
      <c r="E42" s="327"/>
      <c r="F42" s="327"/>
      <c r="G42" s="328"/>
      <c r="H42" s="327"/>
      <c r="I42" s="327"/>
      <c r="J42" s="327"/>
      <c r="K42" s="327"/>
      <c r="L42" s="327"/>
      <c r="M42" s="327"/>
      <c r="N42" s="32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2" t="s">
        <v>1447</v>
      </c>
      <c r="B44" s="283"/>
      <c r="C44" s="36">
        <v>7</v>
      </c>
      <c r="D44" s="28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285"/>
      <c r="F44" s="285"/>
      <c r="G44" s="285"/>
      <c r="H44" s="285"/>
      <c r="I44" s="285"/>
      <c r="J44" s="285"/>
      <c r="K44" s="285"/>
      <c r="L44" s="285"/>
      <c r="M44" s="285"/>
      <c r="N44" s="285"/>
      <c r="P44" s="47" t="s">
        <v>481</v>
      </c>
      <c r="Q44" s="48">
        <f>LEN(Skriveni!B43)</f>
        <v>14</v>
      </c>
    </row>
    <row r="45" spans="1:17" ht="4.5" customHeight="1">
      <c r="A45" s="9"/>
      <c r="B45" s="41"/>
      <c r="C45" s="53"/>
      <c r="D45" s="157"/>
      <c r="E45" s="158"/>
      <c r="F45" s="158"/>
      <c r="G45" s="158"/>
      <c r="H45" s="27"/>
      <c r="I45" s="159"/>
      <c r="J45" s="159"/>
      <c r="K45" s="159"/>
      <c r="L45" s="159"/>
      <c r="M45" s="159"/>
      <c r="N45" s="160"/>
      <c r="Q45" s="48"/>
    </row>
    <row r="46" spans="1:17" ht="15" customHeight="1">
      <c r="A46" s="293" t="s">
        <v>1686</v>
      </c>
      <c r="B46" s="286"/>
      <c r="C46" s="37"/>
      <c r="D46" s="288">
        <f>IF(C46="","",IF(ISNA(LOOKUP(C46,A1355:A1603,A1355:A1603)),"Šifra države nepostojeća",IF(LOOKUP(C46,A1355:A1603,A1355:A1603)&lt;&gt;C46,"Šifra države nepostojeća",LOOKUP(C46,A1355:A1603,B1355:B1603))))</f>
      </c>
      <c r="E46" s="289"/>
      <c r="F46" s="289"/>
      <c r="G46" s="289"/>
      <c r="H46" s="289"/>
      <c r="I46" s="289"/>
      <c r="J46" s="286" t="s">
        <v>1685</v>
      </c>
      <c r="K46" s="287"/>
      <c r="L46" s="287"/>
      <c r="M46" s="303"/>
      <c r="N46" s="380"/>
      <c r="P46" s="49" t="s">
        <v>1811</v>
      </c>
      <c r="Q46" s="50">
        <f>INT(VALUE(L21))/100</f>
        <v>717995390</v>
      </c>
    </row>
    <row r="47" spans="1:14" ht="9.75" customHeight="1">
      <c r="A47" s="287"/>
      <c r="B47" s="287"/>
      <c r="C47" s="53"/>
      <c r="D47" s="157"/>
      <c r="E47" s="158"/>
      <c r="F47" s="158"/>
      <c r="G47" s="158"/>
      <c r="H47" s="27"/>
      <c r="I47" s="159"/>
      <c r="J47" s="287"/>
      <c r="K47" s="287"/>
      <c r="L47" s="287"/>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2" t="s">
        <v>497</v>
      </c>
      <c r="B50" s="283"/>
      <c r="C50" s="37">
        <v>3</v>
      </c>
      <c r="D50" s="280" t="str">
        <f>IF(C50="","Upišite oznaku veličine",IF(ISNA(LOOKUP(C50,A124:A127,A124:A127)),"Nepostojeća oznaka veličine",IF(LOOKUP(C50,A124:A127,A124:A127)&lt;&gt;C50,"Nepostojeća oznaka veličine",LOOKUP(C50,A124:A127,B124:B127))))</f>
        <v>Srednji poduzetnik</v>
      </c>
      <c r="E50" s="281"/>
      <c r="F50" s="281"/>
      <c r="G50" s="281"/>
      <c r="H50" s="281"/>
      <c r="I50" s="336" t="s">
        <v>665</v>
      </c>
      <c r="J50" s="337"/>
      <c r="K50" s="337"/>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2" t="s">
        <v>2780</v>
      </c>
      <c r="B52" s="283"/>
      <c r="C52" s="37">
        <v>21</v>
      </c>
      <c r="D52" s="280" t="str">
        <f>IF(C52="","Upišite oznaku vlasništva",IF(ISNA(LOOKUP(C52,A80:A87,A80:A87)),"Nepostojeća oznaka vlasništva",IF(LOOKUP(C52,A80:A87,A80:A87)&lt;&gt;C52,"Nepostojeća oznaka vlasništva",LOOKUP(C52,A80:A87,B80:B87))))</f>
        <v>Privatno od osnivanja</v>
      </c>
      <c r="E52" s="281"/>
      <c r="F52" s="281"/>
      <c r="G52" s="281"/>
      <c r="H52" s="292"/>
      <c r="I52" s="5" t="str">
        <f>IF(OR(Bilanca!Q1=1,RDG!Q1=1,N6="NE"),"DA","NE")</f>
        <v>DA</v>
      </c>
      <c r="J52" s="290" t="s">
        <v>172</v>
      </c>
      <c r="K52" s="291"/>
      <c r="L52" s="291"/>
      <c r="M52" s="291"/>
      <c r="N52" s="291"/>
      <c r="O52" s="160"/>
      <c r="P52" s="47" t="s">
        <v>327</v>
      </c>
      <c r="Q52" s="47">
        <f>IF(N19="HSFI",1+1/10,IF(N19="MSFI",1+2/10,0))</f>
        <v>1.2</v>
      </c>
    </row>
    <row r="53" spans="1:15" ht="4.5" customHeight="1">
      <c r="A53" s="130"/>
      <c r="B53" s="130"/>
      <c r="C53" s="53"/>
      <c r="D53" s="141"/>
      <c r="E53" s="141"/>
      <c r="F53" s="141"/>
      <c r="G53" s="141"/>
      <c r="H53" s="161"/>
      <c r="I53" s="53"/>
      <c r="J53" s="162"/>
      <c r="K53" s="162"/>
      <c r="L53" s="162"/>
      <c r="M53" s="162"/>
      <c r="N53" s="162"/>
      <c r="O53" s="160"/>
    </row>
    <row r="54" spans="1:17" ht="15" customHeight="1">
      <c r="A54" s="282" t="s">
        <v>1462</v>
      </c>
      <c r="B54" s="283"/>
      <c r="C54" s="34">
        <v>99</v>
      </c>
      <c r="D54" s="52" t="s">
        <v>1463</v>
      </c>
      <c r="F54" s="34">
        <v>1</v>
      </c>
      <c r="G54" s="52" t="s">
        <v>1464</v>
      </c>
      <c r="H54" s="53"/>
      <c r="I54" s="5" t="str">
        <f>IF(OR(Dodatni!Q1=1,AND(N6="NE",C19&lt;&gt;2)),"DA","NE")</f>
        <v>NE</v>
      </c>
      <c r="J54" s="290" t="s">
        <v>1733</v>
      </c>
      <c r="K54" s="291"/>
      <c r="L54" s="291"/>
      <c r="M54" s="291"/>
      <c r="N54" s="291"/>
      <c r="O54" s="160"/>
      <c r="P54" s="47" t="s">
        <v>658</v>
      </c>
      <c r="Q54" s="47">
        <f>C44/10</f>
        <v>0.7</v>
      </c>
    </row>
    <row r="55" spans="1:15" ht="4.5" customHeight="1">
      <c r="A55" s="293" t="s">
        <v>1525</v>
      </c>
      <c r="B55" s="287"/>
      <c r="D55" s="54"/>
      <c r="F55" s="55"/>
      <c r="G55" s="55"/>
      <c r="H55" s="55"/>
      <c r="I55" s="55"/>
      <c r="J55" s="162"/>
      <c r="K55" s="162"/>
      <c r="L55" s="162"/>
      <c r="M55" s="162"/>
      <c r="N55" s="162"/>
      <c r="O55" s="160"/>
    </row>
    <row r="56" spans="1:17" ht="15" customHeight="1">
      <c r="A56" s="287"/>
      <c r="B56" s="287"/>
      <c r="C56" s="38">
        <v>41</v>
      </c>
      <c r="D56" s="338" t="s">
        <v>777</v>
      </c>
      <c r="E56" s="339"/>
      <c r="F56" s="38">
        <v>49</v>
      </c>
      <c r="G56" s="338" t="s">
        <v>778</v>
      </c>
      <c r="H56" s="340"/>
      <c r="I56" s="193" t="s">
        <v>2714</v>
      </c>
      <c r="J56" s="309" t="s">
        <v>2742</v>
      </c>
      <c r="K56" s="291"/>
      <c r="L56" s="291"/>
      <c r="M56" s="291"/>
      <c r="N56" s="291"/>
      <c r="O56" s="160"/>
      <c r="P56" s="47" t="s">
        <v>1938</v>
      </c>
      <c r="Q56" s="47">
        <f>C46/20</f>
        <v>0</v>
      </c>
    </row>
    <row r="57" spans="1:15" ht="4.5" customHeight="1">
      <c r="A57" s="287"/>
      <c r="B57" s="287"/>
      <c r="G57" s="56"/>
      <c r="H57" s="56"/>
      <c r="I57" s="55"/>
      <c r="J57" s="162"/>
      <c r="K57" s="162"/>
      <c r="L57" s="162"/>
      <c r="M57" s="162"/>
      <c r="N57" s="162"/>
      <c r="O57" s="160"/>
    </row>
    <row r="58" spans="1:17" ht="15" customHeight="1">
      <c r="A58" s="278" t="s">
        <v>1645</v>
      </c>
      <c r="B58" s="279"/>
      <c r="C58" s="38">
        <v>41</v>
      </c>
      <c r="D58" s="315" t="s">
        <v>777</v>
      </c>
      <c r="E58" s="315"/>
      <c r="F58" s="38">
        <v>46</v>
      </c>
      <c r="G58" s="315" t="s">
        <v>778</v>
      </c>
      <c r="H58" s="315"/>
      <c r="I58" s="5" t="str">
        <f>IF(OR(NT_I!Q1&lt;&gt;0,NT_D!Q1&lt;&gt;0),"DA","NE")</f>
        <v>DA</v>
      </c>
      <c r="J58" s="290" t="s">
        <v>283</v>
      </c>
      <c r="K58" s="291"/>
      <c r="L58" s="291"/>
      <c r="M58" s="291"/>
      <c r="N58" s="291"/>
      <c r="O58" s="160"/>
      <c r="P58" s="47" t="s">
        <v>1939</v>
      </c>
      <c r="Q58" s="47">
        <f>IF(ISERROR(INT(M46)),LEN(TRIM(M46)),INT(M46)/100)</f>
        <v>0</v>
      </c>
    </row>
    <row r="59" spans="1:15" ht="4.5" customHeight="1">
      <c r="A59" s="278"/>
      <c r="B59" s="278"/>
      <c r="G59" s="57"/>
      <c r="H59" s="57"/>
      <c r="I59" s="163"/>
      <c r="J59" s="162"/>
      <c r="K59" s="162"/>
      <c r="L59" s="162"/>
      <c r="M59" s="162"/>
      <c r="N59" s="162"/>
      <c r="O59" s="160"/>
    </row>
    <row r="60" spans="1:17" ht="15" customHeight="1">
      <c r="A60" s="293" t="s">
        <v>2706</v>
      </c>
      <c r="B60" s="286"/>
      <c r="C60" s="38">
        <v>12</v>
      </c>
      <c r="D60" s="315" t="s">
        <v>777</v>
      </c>
      <c r="E60" s="315"/>
      <c r="F60" s="38">
        <v>12</v>
      </c>
      <c r="G60" s="315" t="s">
        <v>778</v>
      </c>
      <c r="H60" s="315"/>
      <c r="I60" s="194" t="str">
        <f>IF(PK!AC1=1,"DA","NE")</f>
        <v>DA</v>
      </c>
      <c r="J60" s="291" t="s">
        <v>2626</v>
      </c>
      <c r="K60" s="291"/>
      <c r="L60" s="291"/>
      <c r="M60" s="291"/>
      <c r="N60" s="291"/>
      <c r="O60" s="160"/>
      <c r="P60" s="47" t="s">
        <v>2403</v>
      </c>
      <c r="Q60" s="47">
        <f>C23/50</f>
        <v>0.02</v>
      </c>
    </row>
    <row r="61" spans="1:15" ht="9.75" customHeight="1" thickBot="1">
      <c r="A61" s="130"/>
      <c r="B61" s="130"/>
      <c r="I61" s="53"/>
      <c r="J61" s="162"/>
      <c r="K61" s="162"/>
      <c r="L61" s="162"/>
      <c r="M61" s="162"/>
      <c r="N61" s="162"/>
      <c r="O61" s="160"/>
    </row>
    <row r="62" spans="1:15" ht="15" customHeight="1">
      <c r="A62" s="318" t="s">
        <v>1835</v>
      </c>
      <c r="B62" s="319"/>
      <c r="C62" s="319"/>
      <c r="D62" s="164"/>
      <c r="I62" s="193" t="s">
        <v>2714</v>
      </c>
      <c r="J62" s="309" t="s">
        <v>499</v>
      </c>
      <c r="K62" s="291"/>
      <c r="L62" s="291"/>
      <c r="M62" s="291"/>
      <c r="N62" s="291"/>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t="s">
        <v>3016</v>
      </c>
      <c r="C64" s="296" t="s">
        <v>1466</v>
      </c>
      <c r="D64" s="297"/>
      <c r="E64" s="297"/>
      <c r="F64" s="297"/>
      <c r="G64" s="130"/>
      <c r="H64" s="130"/>
      <c r="I64" s="193" t="s">
        <v>2714</v>
      </c>
      <c r="J64" s="309" t="s">
        <v>500</v>
      </c>
      <c r="K64" s="291"/>
      <c r="L64" s="291"/>
      <c r="M64" s="291"/>
      <c r="N64" s="291"/>
      <c r="O64" s="160"/>
    </row>
    <row r="65" spans="1:15" ht="4.5" customHeight="1">
      <c r="A65" s="140"/>
      <c r="B65" s="140"/>
      <c r="G65" s="130"/>
      <c r="H65" s="130"/>
      <c r="I65" s="53"/>
      <c r="J65" s="162"/>
      <c r="K65" s="162"/>
      <c r="L65" s="162"/>
      <c r="M65" s="162"/>
      <c r="N65" s="162"/>
      <c r="O65" s="160"/>
    </row>
    <row r="66" spans="1:15" ht="15" customHeight="1">
      <c r="A66" s="39" t="s">
        <v>1644</v>
      </c>
      <c r="B66" s="320" t="s">
        <v>3017</v>
      </c>
      <c r="C66" s="321"/>
      <c r="D66" s="321"/>
      <c r="E66" s="321"/>
      <c r="F66" s="321"/>
      <c r="G66" s="322"/>
      <c r="H66" s="165"/>
      <c r="I66" s="193" t="s">
        <v>419</v>
      </c>
      <c r="J66" s="291" t="s">
        <v>2708</v>
      </c>
      <c r="K66" s="291"/>
      <c r="L66" s="291"/>
      <c r="M66" s="291"/>
      <c r="N66" s="291"/>
      <c r="O66" s="160"/>
    </row>
    <row r="67" spans="3:15" ht="10.5" customHeight="1">
      <c r="C67" s="314"/>
      <c r="D67" s="312"/>
      <c r="E67" s="312"/>
      <c r="F67" s="312"/>
      <c r="G67" s="312"/>
      <c r="H67" s="313"/>
      <c r="I67" s="53"/>
      <c r="J67" s="310"/>
      <c r="K67" s="310"/>
      <c r="L67" s="310"/>
      <c r="M67" s="310"/>
      <c r="N67" s="310"/>
      <c r="O67" s="160"/>
    </row>
    <row r="68" spans="1:15" ht="15" customHeight="1">
      <c r="A68" s="293" t="s">
        <v>2707</v>
      </c>
      <c r="B68" s="343"/>
      <c r="C68" s="300" t="s">
        <v>3018</v>
      </c>
      <c r="D68" s="316"/>
      <c r="E68" s="316"/>
      <c r="F68" s="316"/>
      <c r="G68" s="317"/>
      <c r="H68" s="165"/>
      <c r="I68" s="193" t="s">
        <v>2714</v>
      </c>
      <c r="J68" s="291" t="s">
        <v>664</v>
      </c>
      <c r="K68" s="291"/>
      <c r="L68" s="291"/>
      <c r="M68" s="291"/>
      <c r="N68" s="291"/>
      <c r="O68" s="28"/>
    </row>
    <row r="69" spans="3:15" ht="9.75" customHeight="1">
      <c r="C69" s="311" t="s">
        <v>2417</v>
      </c>
      <c r="D69" s="312"/>
      <c r="E69" s="312"/>
      <c r="F69" s="312"/>
      <c r="G69" s="312"/>
      <c r="H69" s="313"/>
      <c r="I69" s="53"/>
      <c r="J69" s="310"/>
      <c r="K69" s="310"/>
      <c r="L69" s="310"/>
      <c r="M69" s="310"/>
      <c r="N69" s="310"/>
      <c r="O69" s="28"/>
    </row>
    <row r="70" spans="1:15" ht="15" customHeight="1">
      <c r="A70" s="293" t="s">
        <v>1465</v>
      </c>
      <c r="B70" s="343"/>
      <c r="C70" s="344" t="s">
        <v>3019</v>
      </c>
      <c r="D70" s="345"/>
      <c r="E70" s="346"/>
      <c r="F70" s="53"/>
      <c r="G70" s="130"/>
      <c r="H70" s="130"/>
      <c r="I70" s="130"/>
      <c r="J70" s="130"/>
      <c r="K70" s="130"/>
      <c r="L70" s="130"/>
      <c r="M70" s="130"/>
      <c r="N70" s="53"/>
      <c r="O70" s="28"/>
    </row>
    <row r="71" spans="1:14" ht="9.75" customHeight="1">
      <c r="A71" s="130"/>
      <c r="B71" s="130"/>
      <c r="C71" s="350" t="s">
        <v>2830</v>
      </c>
      <c r="D71" s="297"/>
      <c r="E71" s="297"/>
      <c r="F71" s="297"/>
      <c r="G71" s="297"/>
      <c r="H71" s="297"/>
      <c r="I71" s="130"/>
      <c r="J71" s="130"/>
      <c r="K71" s="130"/>
      <c r="L71" s="130"/>
      <c r="M71" s="130"/>
      <c r="N71" s="53"/>
    </row>
    <row r="72" spans="1:14" ht="15" customHeight="1">
      <c r="A72" s="293" t="s">
        <v>2784</v>
      </c>
      <c r="B72" s="343"/>
      <c r="C72" s="349" t="s">
        <v>3020</v>
      </c>
      <c r="D72" s="316"/>
      <c r="E72" s="316"/>
      <c r="F72" s="316"/>
      <c r="G72" s="316"/>
      <c r="H72" s="317"/>
      <c r="I72" s="130"/>
      <c r="J72" s="130"/>
      <c r="K72" s="130"/>
      <c r="N72" s="10" t="str">
        <f>"Verzija Excel datoteke: "&amp;MID(Skriveni!B4,1,1)&amp;"."&amp;MID(Skriveni!B4,2,1)&amp;"."&amp;MID(Skriveni!B4,3,1)&amp;"."</f>
        <v>Verzija Excel datoteke: 4.0.5.</v>
      </c>
    </row>
    <row r="73" spans="1:14" ht="9.75" customHeight="1">
      <c r="A73" s="20"/>
      <c r="B73" s="20"/>
      <c r="C73" s="311" t="s">
        <v>1888</v>
      </c>
      <c r="D73" s="311"/>
      <c r="E73" s="311"/>
      <c r="F73" s="311"/>
      <c r="G73" s="311"/>
      <c r="H73" s="31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44" t="s">
        <v>3021</v>
      </c>
      <c r="B75" s="316"/>
      <c r="C75" s="316"/>
      <c r="D75" s="316"/>
      <c r="E75" s="317"/>
      <c r="I75" s="130"/>
      <c r="J75" s="130"/>
      <c r="K75" s="130"/>
      <c r="L75" s="130"/>
      <c r="M75" s="130"/>
      <c r="N75" s="130"/>
    </row>
    <row r="76" spans="1:14" ht="9.75" customHeight="1">
      <c r="A76" s="347" t="s">
        <v>144</v>
      </c>
      <c r="B76" s="348"/>
      <c r="C76" s="348"/>
      <c r="D76" s="348"/>
      <c r="E76" s="348"/>
      <c r="I76" s="130"/>
      <c r="J76" s="341" t="s">
        <v>145</v>
      </c>
      <c r="K76" s="342"/>
      <c r="L76" s="342"/>
      <c r="M76" s="342"/>
      <c r="N76" s="342"/>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A3:N3"/>
    <mergeCell ref="C4:D4"/>
    <mergeCell ref="A6:F6"/>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3" activePane="bottomLeft" state="frozen"/>
      <selection pane="topLeft" activeCell="A1" sqref="A1"/>
      <selection pane="bottomLeft" activeCell="J96" sqref="J96"/>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0" t="s">
        <v>936</v>
      </c>
      <c r="B2" s="401"/>
      <c r="C2" s="401"/>
      <c r="D2" s="401"/>
      <c r="E2" s="401"/>
      <c r="F2" s="401"/>
      <c r="G2" s="401"/>
      <c r="H2" s="401"/>
      <c r="I2" s="402"/>
      <c r="J2" s="398" t="s">
        <v>390</v>
      </c>
      <c r="Q2" s="64">
        <f>IF(OR(MIN(I9:I135)&lt;0,MAX(I9:I135)&gt;0),1,0)</f>
        <v>1</v>
      </c>
      <c r="R2" s="63" t="s">
        <v>386</v>
      </c>
    </row>
    <row r="3" spans="1:18" ht="19.5" customHeight="1" thickBot="1">
      <c r="A3" s="403" t="str">
        <f>"stanje na dan "&amp;IF(RefStr!F4&lt;&gt;"",TEXT(RefStr!F4,"DD.MM.YYYY."),"__.__.____.")</f>
        <v>stanje na dan 31.12.2023.</v>
      </c>
      <c r="B3" s="404"/>
      <c r="C3" s="404"/>
      <c r="D3" s="404"/>
      <c r="E3" s="404"/>
      <c r="F3" s="404"/>
      <c r="G3" s="404"/>
      <c r="H3" s="404"/>
      <c r="I3" s="405"/>
      <c r="J3" s="399"/>
      <c r="Q3" s="64">
        <f>IF(OR(MIN(J9:J135)&lt;0,MAX(J9:J135)&gt;0),1,0)</f>
        <v>1</v>
      </c>
      <c r="R3" s="63" t="s">
        <v>387</v>
      </c>
    </row>
    <row r="4" spans="1:10" ht="4.5" customHeight="1">
      <c r="A4" s="210"/>
      <c r="B4" s="66"/>
      <c r="C4" s="66"/>
      <c r="D4" s="66"/>
      <c r="E4" s="66"/>
      <c r="F4" s="66"/>
      <c r="G4" s="66"/>
      <c r="H4" s="66"/>
      <c r="I4" s="66"/>
      <c r="J4" s="65"/>
    </row>
    <row r="5" spans="1:18" ht="15" customHeight="1">
      <c r="A5" s="411" t="str">
        <f>"Obveznik: "&amp;IF(RefStr!C27&lt;&gt;"",RefStr!C27,"________")&amp;"; "&amp;IF(RefStr!C29&lt;&gt;"",RefStr!C29,"__________________________________________"&amp;"; "&amp;IF(RefStr!F31&lt;&gt;"",RefStr!F31,"_______________"))</f>
        <v>Obveznik: 06374155285; MON PERIN D.D.</v>
      </c>
      <c r="B5" s="412"/>
      <c r="C5" s="412"/>
      <c r="D5" s="412"/>
      <c r="E5" s="412"/>
      <c r="F5" s="412"/>
      <c r="G5" s="412"/>
      <c r="H5" s="412"/>
      <c r="I5" s="412"/>
      <c r="J5" s="225" t="str">
        <f>IF(YEAR(RefStr!F4)&gt;2022,"Iznosi u EUR","Iznosi u kunama")</f>
        <v>Iznosi u EUR</v>
      </c>
      <c r="Q5" s="2">
        <f>IF(I98&lt;&gt;0,1,0)</f>
        <v>0</v>
      </c>
      <c r="R5" s="63" t="s">
        <v>388</v>
      </c>
    </row>
    <row r="6" spans="1:18" ht="24.75" customHeight="1" thickBot="1">
      <c r="A6" s="406" t="s">
        <v>2440</v>
      </c>
      <c r="B6" s="407"/>
      <c r="C6" s="407"/>
      <c r="D6" s="407"/>
      <c r="E6" s="407"/>
      <c r="F6" s="407"/>
      <c r="G6" s="83" t="s">
        <v>2459</v>
      </c>
      <c r="H6" s="83" t="s">
        <v>1936</v>
      </c>
      <c r="I6" s="83" t="s">
        <v>1020</v>
      </c>
      <c r="J6" s="224" t="s">
        <v>1021</v>
      </c>
      <c r="Q6" s="2">
        <f>IF(J98&lt;&gt;0,1,0)</f>
        <v>0</v>
      </c>
      <c r="R6" s="63" t="s">
        <v>389</v>
      </c>
    </row>
    <row r="7" spans="1:10" ht="13.5" customHeight="1">
      <c r="A7" s="408">
        <v>1</v>
      </c>
      <c r="B7" s="409"/>
      <c r="C7" s="409"/>
      <c r="D7" s="409"/>
      <c r="E7" s="409"/>
      <c r="F7" s="409"/>
      <c r="G7" s="85">
        <v>2</v>
      </c>
      <c r="H7" s="85">
        <v>3</v>
      </c>
      <c r="I7" s="84">
        <v>4</v>
      </c>
      <c r="J7" s="86">
        <v>5</v>
      </c>
    </row>
    <row r="8" spans="1:10" ht="13.5" customHeight="1">
      <c r="A8" s="394" t="s">
        <v>2442</v>
      </c>
      <c r="B8" s="410"/>
      <c r="C8" s="410"/>
      <c r="D8" s="410"/>
      <c r="E8" s="410"/>
      <c r="F8" s="410"/>
      <c r="G8" s="410"/>
      <c r="H8" s="410"/>
      <c r="I8" s="410"/>
      <c r="J8" s="410"/>
    </row>
    <row r="9" spans="1:15" ht="13.5" customHeight="1">
      <c r="A9" s="396" t="s">
        <v>2443</v>
      </c>
      <c r="B9" s="396"/>
      <c r="C9" s="396"/>
      <c r="D9" s="396"/>
      <c r="E9" s="396"/>
      <c r="F9" s="396"/>
      <c r="G9" s="14">
        <v>1</v>
      </c>
      <c r="H9" s="15"/>
      <c r="I9" s="229"/>
      <c r="J9" s="229"/>
      <c r="L9" s="2" t="s">
        <v>1674</v>
      </c>
      <c r="O9" s="64"/>
    </row>
    <row r="10" spans="1:12" ht="13.5" customHeight="1">
      <c r="A10" s="396" t="s">
        <v>1816</v>
      </c>
      <c r="B10" s="396"/>
      <c r="C10" s="396"/>
      <c r="D10" s="396"/>
      <c r="E10" s="396"/>
      <c r="F10" s="396"/>
      <c r="G10" s="14">
        <v>2</v>
      </c>
      <c r="H10" s="15"/>
      <c r="I10" s="230">
        <f>ROUND(I11+I18+I28+I39+I44,2)</f>
        <v>38081288.44</v>
      </c>
      <c r="J10" s="230">
        <f>ROUND(J11+J18+J28+J39+J44,2)</f>
        <v>54237653.89</v>
      </c>
      <c r="L10" s="2" t="s">
        <v>1674</v>
      </c>
    </row>
    <row r="11" spans="1:12" ht="13.5" customHeight="1">
      <c r="A11" s="392" t="s">
        <v>1817</v>
      </c>
      <c r="B11" s="392"/>
      <c r="C11" s="392"/>
      <c r="D11" s="392"/>
      <c r="E11" s="392"/>
      <c r="F11" s="392"/>
      <c r="G11" s="14">
        <v>3</v>
      </c>
      <c r="H11" s="15"/>
      <c r="I11" s="230">
        <f>ROUND(SUM(I12:I17),2)</f>
        <v>2378.02</v>
      </c>
      <c r="J11" s="230">
        <f>ROUND(SUM(J12:J17),2)</f>
        <v>1786.82</v>
      </c>
      <c r="L11" s="2" t="s">
        <v>1674</v>
      </c>
    </row>
    <row r="12" spans="1:12" ht="13.5" customHeight="1">
      <c r="A12" s="393" t="s">
        <v>1360</v>
      </c>
      <c r="B12" s="393"/>
      <c r="C12" s="393"/>
      <c r="D12" s="393"/>
      <c r="E12" s="393"/>
      <c r="F12" s="393"/>
      <c r="G12" s="14">
        <v>4</v>
      </c>
      <c r="H12" s="15"/>
      <c r="I12" s="229"/>
      <c r="J12" s="229"/>
      <c r="L12" s="2" t="s">
        <v>1674</v>
      </c>
    </row>
    <row r="13" spans="1:12" ht="24.75" customHeight="1">
      <c r="A13" s="393" t="s">
        <v>1793</v>
      </c>
      <c r="B13" s="393"/>
      <c r="C13" s="393"/>
      <c r="D13" s="393"/>
      <c r="E13" s="393"/>
      <c r="F13" s="393"/>
      <c r="G13" s="14">
        <v>5</v>
      </c>
      <c r="H13" s="15"/>
      <c r="I13" s="229">
        <v>1706.91</v>
      </c>
      <c r="J13" s="229">
        <v>1219.23</v>
      </c>
      <c r="L13" s="2" t="s">
        <v>1674</v>
      </c>
    </row>
    <row r="14" spans="1:12" ht="13.5" customHeight="1">
      <c r="A14" s="393" t="s">
        <v>1361</v>
      </c>
      <c r="B14" s="393"/>
      <c r="C14" s="393"/>
      <c r="D14" s="393"/>
      <c r="E14" s="393"/>
      <c r="F14" s="393"/>
      <c r="G14" s="14">
        <v>6</v>
      </c>
      <c r="H14" s="15"/>
      <c r="I14" s="229"/>
      <c r="J14" s="229"/>
      <c r="L14" s="2" t="s">
        <v>1674</v>
      </c>
    </row>
    <row r="15" spans="1:12" ht="13.5" customHeight="1">
      <c r="A15" s="393" t="s">
        <v>1362</v>
      </c>
      <c r="B15" s="393"/>
      <c r="C15" s="393"/>
      <c r="D15" s="393"/>
      <c r="E15" s="393"/>
      <c r="F15" s="393"/>
      <c r="G15" s="14">
        <v>7</v>
      </c>
      <c r="H15" s="15"/>
      <c r="I15" s="229">
        <v>671.11</v>
      </c>
      <c r="J15" s="229">
        <v>567.59</v>
      </c>
      <c r="L15" s="2" t="s">
        <v>1674</v>
      </c>
    </row>
    <row r="16" spans="1:12" ht="13.5" customHeight="1">
      <c r="A16" s="393" t="s">
        <v>1363</v>
      </c>
      <c r="B16" s="393"/>
      <c r="C16" s="393"/>
      <c r="D16" s="393"/>
      <c r="E16" s="393"/>
      <c r="F16" s="393"/>
      <c r="G16" s="14">
        <v>8</v>
      </c>
      <c r="H16" s="15"/>
      <c r="I16" s="229"/>
      <c r="J16" s="229"/>
      <c r="L16" s="2" t="s">
        <v>1674</v>
      </c>
    </row>
    <row r="17" spans="1:12" ht="13.5" customHeight="1">
      <c r="A17" s="393" t="s">
        <v>1364</v>
      </c>
      <c r="B17" s="393"/>
      <c r="C17" s="393"/>
      <c r="D17" s="393"/>
      <c r="E17" s="393"/>
      <c r="F17" s="393"/>
      <c r="G17" s="14">
        <v>9</v>
      </c>
      <c r="H17" s="15"/>
      <c r="I17" s="229"/>
      <c r="J17" s="229"/>
      <c r="L17" s="2" t="s">
        <v>1674</v>
      </c>
    </row>
    <row r="18" spans="1:12" ht="13.5" customHeight="1">
      <c r="A18" s="392" t="s">
        <v>148</v>
      </c>
      <c r="B18" s="392"/>
      <c r="C18" s="392"/>
      <c r="D18" s="392"/>
      <c r="E18" s="392"/>
      <c r="F18" s="392"/>
      <c r="G18" s="14">
        <v>10</v>
      </c>
      <c r="H18" s="15"/>
      <c r="I18" s="230">
        <f>ROUND(SUM(I19:I27),2)</f>
        <v>25484686.09</v>
      </c>
      <c r="J18" s="230">
        <f>ROUND(SUM(J19:J27),2)</f>
        <v>35734175.91</v>
      </c>
      <c r="L18" s="2" t="s">
        <v>1674</v>
      </c>
    </row>
    <row r="19" spans="1:12" ht="13.5" customHeight="1">
      <c r="A19" s="393" t="s">
        <v>2110</v>
      </c>
      <c r="B19" s="393"/>
      <c r="C19" s="393"/>
      <c r="D19" s="393"/>
      <c r="E19" s="393"/>
      <c r="F19" s="393"/>
      <c r="G19" s="14">
        <v>11</v>
      </c>
      <c r="H19" s="15"/>
      <c r="I19" s="229">
        <v>574860.94</v>
      </c>
      <c r="J19" s="229">
        <v>574860.93</v>
      </c>
      <c r="L19" s="2" t="s">
        <v>1674</v>
      </c>
    </row>
    <row r="20" spans="1:12" ht="13.5" customHeight="1">
      <c r="A20" s="393" t="s">
        <v>1709</v>
      </c>
      <c r="B20" s="393"/>
      <c r="C20" s="393"/>
      <c r="D20" s="393"/>
      <c r="E20" s="393"/>
      <c r="F20" s="393"/>
      <c r="G20" s="14">
        <v>12</v>
      </c>
      <c r="H20" s="15"/>
      <c r="I20" s="229">
        <v>20528493.52</v>
      </c>
      <c r="J20" s="229">
        <v>27607828.58</v>
      </c>
      <c r="L20" s="2" t="s">
        <v>1674</v>
      </c>
    </row>
    <row r="21" spans="1:12" ht="13.5" customHeight="1">
      <c r="A21" s="393" t="s">
        <v>2111</v>
      </c>
      <c r="B21" s="393"/>
      <c r="C21" s="393"/>
      <c r="D21" s="393"/>
      <c r="E21" s="393"/>
      <c r="F21" s="393"/>
      <c r="G21" s="14">
        <v>13</v>
      </c>
      <c r="H21" s="15"/>
      <c r="I21" s="229">
        <f>1366409.86-8301.08</f>
        <v>1358108.78</v>
      </c>
      <c r="J21" s="229">
        <f>1956740.5-8301.08</f>
        <v>1948439.42</v>
      </c>
      <c r="L21" s="2" t="s">
        <v>1674</v>
      </c>
    </row>
    <row r="22" spans="1:12" ht="13.5" customHeight="1">
      <c r="A22" s="393" t="s">
        <v>1018</v>
      </c>
      <c r="B22" s="393"/>
      <c r="C22" s="393"/>
      <c r="D22" s="393"/>
      <c r="E22" s="393"/>
      <c r="F22" s="393"/>
      <c r="G22" s="14">
        <v>14</v>
      </c>
      <c r="H22" s="15"/>
      <c r="I22" s="229">
        <v>237115.86</v>
      </c>
      <c r="J22" s="229">
        <v>401430.8</v>
      </c>
      <c r="L22" s="2" t="s">
        <v>1674</v>
      </c>
    </row>
    <row r="23" spans="1:12" ht="13.5" customHeight="1">
      <c r="A23" s="393" t="s">
        <v>1019</v>
      </c>
      <c r="B23" s="393"/>
      <c r="C23" s="393"/>
      <c r="D23" s="393"/>
      <c r="E23" s="393"/>
      <c r="F23" s="393"/>
      <c r="G23" s="14">
        <v>15</v>
      </c>
      <c r="H23" s="15"/>
      <c r="I23" s="229">
        <v>145744.85</v>
      </c>
      <c r="J23" s="229">
        <v>181953.92</v>
      </c>
      <c r="L23" s="2" t="s">
        <v>1674</v>
      </c>
    </row>
    <row r="24" spans="1:12" ht="13.5" customHeight="1">
      <c r="A24" s="393" t="s">
        <v>2264</v>
      </c>
      <c r="B24" s="393"/>
      <c r="C24" s="393"/>
      <c r="D24" s="393"/>
      <c r="E24" s="393"/>
      <c r="F24" s="393"/>
      <c r="G24" s="14">
        <v>16</v>
      </c>
      <c r="H24" s="15"/>
      <c r="I24" s="229">
        <v>878419.39</v>
      </c>
      <c r="J24" s="229">
        <v>571702.48</v>
      </c>
      <c r="L24" s="2" t="s">
        <v>1674</v>
      </c>
    </row>
    <row r="25" spans="1:12" ht="13.5" customHeight="1">
      <c r="A25" s="393" t="s">
        <v>2265</v>
      </c>
      <c r="B25" s="393"/>
      <c r="C25" s="393"/>
      <c r="D25" s="393"/>
      <c r="E25" s="393"/>
      <c r="F25" s="393"/>
      <c r="G25" s="14">
        <v>17</v>
      </c>
      <c r="H25" s="15"/>
      <c r="I25" s="229">
        <v>1697089.72</v>
      </c>
      <c r="J25" s="229">
        <v>4383106.74</v>
      </c>
      <c r="L25" s="2" t="s">
        <v>1674</v>
      </c>
    </row>
    <row r="26" spans="1:12" ht="13.5" customHeight="1">
      <c r="A26" s="393" t="s">
        <v>2266</v>
      </c>
      <c r="B26" s="393"/>
      <c r="C26" s="393"/>
      <c r="D26" s="393"/>
      <c r="E26" s="393"/>
      <c r="F26" s="393"/>
      <c r="G26" s="14">
        <v>18</v>
      </c>
      <c r="H26" s="15"/>
      <c r="I26" s="229">
        <v>64853.03</v>
      </c>
      <c r="J26" s="229">
        <v>64853.04</v>
      </c>
      <c r="L26" s="2" t="s">
        <v>1674</v>
      </c>
    </row>
    <row r="27" spans="1:12" ht="13.5" customHeight="1">
      <c r="A27" s="393" t="s">
        <v>2267</v>
      </c>
      <c r="B27" s="393"/>
      <c r="C27" s="393"/>
      <c r="D27" s="393"/>
      <c r="E27" s="393"/>
      <c r="F27" s="393"/>
      <c r="G27" s="14">
        <v>19</v>
      </c>
      <c r="H27" s="15"/>
      <c r="I27" s="229"/>
      <c r="J27" s="229"/>
      <c r="L27" s="2" t="s">
        <v>1674</v>
      </c>
    </row>
    <row r="28" spans="1:12" ht="13.5" customHeight="1">
      <c r="A28" s="392" t="s">
        <v>443</v>
      </c>
      <c r="B28" s="392"/>
      <c r="C28" s="392"/>
      <c r="D28" s="392"/>
      <c r="E28" s="392"/>
      <c r="F28" s="392"/>
      <c r="G28" s="14">
        <v>20</v>
      </c>
      <c r="H28" s="15"/>
      <c r="I28" s="230">
        <f>ROUND(SUM(I29:I38),2)</f>
        <v>12594224.33</v>
      </c>
      <c r="J28" s="230">
        <f>ROUND(SUM(J29:J38),2)</f>
        <v>18501691.16</v>
      </c>
      <c r="L28" s="2" t="s">
        <v>1674</v>
      </c>
    </row>
    <row r="29" spans="1:12" ht="13.5" customHeight="1">
      <c r="A29" s="393" t="s">
        <v>2082</v>
      </c>
      <c r="B29" s="393"/>
      <c r="C29" s="393"/>
      <c r="D29" s="393"/>
      <c r="E29" s="393"/>
      <c r="F29" s="393"/>
      <c r="G29" s="14">
        <v>21</v>
      </c>
      <c r="H29" s="15"/>
      <c r="I29" s="229"/>
      <c r="J29" s="229"/>
      <c r="L29" s="2" t="s">
        <v>1674</v>
      </c>
    </row>
    <row r="30" spans="1:12" ht="13.5" customHeight="1">
      <c r="A30" s="393" t="s">
        <v>2083</v>
      </c>
      <c r="B30" s="393"/>
      <c r="C30" s="393"/>
      <c r="D30" s="393"/>
      <c r="E30" s="393"/>
      <c r="F30" s="393"/>
      <c r="G30" s="14">
        <v>22</v>
      </c>
      <c r="H30" s="15"/>
      <c r="I30" s="229"/>
      <c r="J30" s="229"/>
      <c r="L30" s="2" t="s">
        <v>1674</v>
      </c>
    </row>
    <row r="31" spans="1:12" ht="13.5" customHeight="1">
      <c r="A31" s="393" t="s">
        <v>2084</v>
      </c>
      <c r="B31" s="393"/>
      <c r="C31" s="393"/>
      <c r="D31" s="393"/>
      <c r="E31" s="393"/>
      <c r="F31" s="393"/>
      <c r="G31" s="14">
        <v>23</v>
      </c>
      <c r="H31" s="15"/>
      <c r="I31" s="229"/>
      <c r="J31" s="229"/>
      <c r="L31" s="2" t="s">
        <v>1674</v>
      </c>
    </row>
    <row r="32" spans="1:12" ht="24.75" customHeight="1">
      <c r="A32" s="393" t="s">
        <v>1794</v>
      </c>
      <c r="B32" s="393"/>
      <c r="C32" s="393"/>
      <c r="D32" s="393"/>
      <c r="E32" s="393"/>
      <c r="F32" s="393"/>
      <c r="G32" s="14">
        <v>24</v>
      </c>
      <c r="H32" s="15"/>
      <c r="I32" s="229">
        <v>168106.71</v>
      </c>
      <c r="J32" s="229">
        <v>168106.71</v>
      </c>
      <c r="L32" s="2" t="s">
        <v>1674</v>
      </c>
    </row>
    <row r="33" spans="1:12" ht="24.75" customHeight="1">
      <c r="A33" s="393" t="s">
        <v>1795</v>
      </c>
      <c r="B33" s="393"/>
      <c r="C33" s="393"/>
      <c r="D33" s="393"/>
      <c r="E33" s="393"/>
      <c r="F33" s="393"/>
      <c r="G33" s="14">
        <v>25</v>
      </c>
      <c r="H33" s="15"/>
      <c r="I33" s="229"/>
      <c r="J33" s="229"/>
      <c r="L33" s="2" t="s">
        <v>1674</v>
      </c>
    </row>
    <row r="34" spans="1:12" ht="24.75" customHeight="1">
      <c r="A34" s="393" t="s">
        <v>1468</v>
      </c>
      <c r="B34" s="393"/>
      <c r="C34" s="393"/>
      <c r="D34" s="393"/>
      <c r="E34" s="393"/>
      <c r="F34" s="393"/>
      <c r="G34" s="14">
        <v>26</v>
      </c>
      <c r="H34" s="15"/>
      <c r="I34" s="229"/>
      <c r="J34" s="229"/>
      <c r="L34" s="2" t="s">
        <v>1674</v>
      </c>
    </row>
    <row r="35" spans="1:12" ht="13.5" customHeight="1">
      <c r="A35" s="393" t="s">
        <v>2085</v>
      </c>
      <c r="B35" s="393"/>
      <c r="C35" s="393"/>
      <c r="D35" s="393"/>
      <c r="E35" s="393"/>
      <c r="F35" s="393"/>
      <c r="G35" s="14">
        <v>27</v>
      </c>
      <c r="H35" s="15"/>
      <c r="I35" s="229">
        <v>12402140.16</v>
      </c>
      <c r="J35" s="229">
        <v>17386868</v>
      </c>
      <c r="L35" s="2" t="s">
        <v>1674</v>
      </c>
    </row>
    <row r="36" spans="1:12" ht="13.5" customHeight="1">
      <c r="A36" s="393" t="s">
        <v>2086</v>
      </c>
      <c r="B36" s="393"/>
      <c r="C36" s="393"/>
      <c r="D36" s="393"/>
      <c r="E36" s="393"/>
      <c r="F36" s="393"/>
      <c r="G36" s="14">
        <v>28</v>
      </c>
      <c r="H36" s="15"/>
      <c r="I36" s="229">
        <v>23977.46</v>
      </c>
      <c r="J36" s="229">
        <f>227940.94+500000+218775.51</f>
        <v>946716.45</v>
      </c>
      <c r="L36" s="2" t="s">
        <v>1674</v>
      </c>
    </row>
    <row r="37" spans="1:12" ht="13.5" customHeight="1">
      <c r="A37" s="393" t="s">
        <v>1424</v>
      </c>
      <c r="B37" s="393"/>
      <c r="C37" s="393"/>
      <c r="D37" s="393"/>
      <c r="E37" s="393"/>
      <c r="F37" s="393"/>
      <c r="G37" s="14">
        <v>29</v>
      </c>
      <c r="H37" s="15"/>
      <c r="I37" s="229"/>
      <c r="J37" s="229"/>
      <c r="L37" s="2" t="s">
        <v>1674</v>
      </c>
    </row>
    <row r="38" spans="1:12" ht="13.5" customHeight="1">
      <c r="A38" s="393" t="s">
        <v>1425</v>
      </c>
      <c r="B38" s="393"/>
      <c r="C38" s="393"/>
      <c r="D38" s="393"/>
      <c r="E38" s="393"/>
      <c r="F38" s="393"/>
      <c r="G38" s="14">
        <v>30</v>
      </c>
      <c r="H38" s="15"/>
      <c r="I38" s="229"/>
      <c r="J38" s="229"/>
      <c r="L38" s="2" t="s">
        <v>1674</v>
      </c>
    </row>
    <row r="39" spans="1:12" ht="13.5" customHeight="1">
      <c r="A39" s="392" t="s">
        <v>444</v>
      </c>
      <c r="B39" s="392"/>
      <c r="C39" s="392"/>
      <c r="D39" s="392"/>
      <c r="E39" s="392"/>
      <c r="F39" s="392"/>
      <c r="G39" s="14">
        <v>31</v>
      </c>
      <c r="H39" s="15"/>
      <c r="I39" s="230">
        <f>ROUND(SUM(I40:I43),2)</f>
        <v>0</v>
      </c>
      <c r="J39" s="230">
        <f>ROUND(SUM(J40:J43),2)</f>
        <v>0</v>
      </c>
      <c r="L39" s="2" t="s">
        <v>1674</v>
      </c>
    </row>
    <row r="40" spans="1:12" ht="13.5" customHeight="1">
      <c r="A40" s="393" t="s">
        <v>1426</v>
      </c>
      <c r="B40" s="393"/>
      <c r="C40" s="393"/>
      <c r="D40" s="393"/>
      <c r="E40" s="393"/>
      <c r="F40" s="393"/>
      <c r="G40" s="14">
        <v>32</v>
      </c>
      <c r="H40" s="15"/>
      <c r="I40" s="229"/>
      <c r="J40" s="229"/>
      <c r="L40" s="2" t="s">
        <v>1674</v>
      </c>
    </row>
    <row r="41" spans="1:12" ht="13.5" customHeight="1">
      <c r="A41" s="393" t="s">
        <v>2627</v>
      </c>
      <c r="B41" s="393"/>
      <c r="C41" s="393"/>
      <c r="D41" s="393"/>
      <c r="E41" s="393"/>
      <c r="F41" s="393"/>
      <c r="G41" s="14">
        <v>33</v>
      </c>
      <c r="H41" s="15"/>
      <c r="I41" s="229"/>
      <c r="J41" s="229"/>
      <c r="L41" s="2" t="s">
        <v>1674</v>
      </c>
    </row>
    <row r="42" spans="1:12" ht="13.5" customHeight="1">
      <c r="A42" s="393" t="s">
        <v>1359</v>
      </c>
      <c r="B42" s="393"/>
      <c r="C42" s="393"/>
      <c r="D42" s="393"/>
      <c r="E42" s="393"/>
      <c r="F42" s="393"/>
      <c r="G42" s="14">
        <v>34</v>
      </c>
      <c r="H42" s="15"/>
      <c r="I42" s="229"/>
      <c r="J42" s="229"/>
      <c r="L42" s="2" t="s">
        <v>1674</v>
      </c>
    </row>
    <row r="43" spans="1:12" ht="13.5" customHeight="1">
      <c r="A43" s="393" t="s">
        <v>2628</v>
      </c>
      <c r="B43" s="393"/>
      <c r="C43" s="393"/>
      <c r="D43" s="393"/>
      <c r="E43" s="393"/>
      <c r="F43" s="393"/>
      <c r="G43" s="14">
        <v>35</v>
      </c>
      <c r="H43" s="15"/>
      <c r="I43" s="229"/>
      <c r="J43" s="229"/>
      <c r="L43" s="2" t="s">
        <v>1674</v>
      </c>
    </row>
    <row r="44" spans="1:12" ht="13.5" customHeight="1">
      <c r="A44" s="392" t="s">
        <v>2223</v>
      </c>
      <c r="B44" s="392"/>
      <c r="C44" s="392"/>
      <c r="D44" s="392"/>
      <c r="E44" s="392"/>
      <c r="F44" s="392"/>
      <c r="G44" s="14">
        <v>36</v>
      </c>
      <c r="H44" s="15"/>
      <c r="I44" s="229"/>
      <c r="J44" s="229"/>
      <c r="L44" s="2" t="s">
        <v>1674</v>
      </c>
    </row>
    <row r="45" spans="1:12" ht="13.5" customHeight="1">
      <c r="A45" s="396" t="s">
        <v>445</v>
      </c>
      <c r="B45" s="396"/>
      <c r="C45" s="396"/>
      <c r="D45" s="396"/>
      <c r="E45" s="396"/>
      <c r="F45" s="396"/>
      <c r="G45" s="14">
        <v>37</v>
      </c>
      <c r="H45" s="15"/>
      <c r="I45" s="230">
        <f>ROUND(I46+I54+I61+I71,2)</f>
        <v>4998967.49</v>
      </c>
      <c r="J45" s="230">
        <f>ROUND(J46+J54+J61+J71,2)</f>
        <v>6353424.91</v>
      </c>
      <c r="L45" s="2" t="s">
        <v>1674</v>
      </c>
    </row>
    <row r="46" spans="1:12" ht="13.5" customHeight="1">
      <c r="A46" s="392" t="s">
        <v>446</v>
      </c>
      <c r="B46" s="392"/>
      <c r="C46" s="392"/>
      <c r="D46" s="392"/>
      <c r="E46" s="392"/>
      <c r="F46" s="392"/>
      <c r="G46" s="14">
        <v>38</v>
      </c>
      <c r="H46" s="15"/>
      <c r="I46" s="230">
        <f>ROUND(SUM(I47:I53),2)</f>
        <v>51005.17</v>
      </c>
      <c r="J46" s="230">
        <f>ROUND(SUM(J47:J53),2)</f>
        <v>75633.48</v>
      </c>
      <c r="L46" s="2" t="s">
        <v>1674</v>
      </c>
    </row>
    <row r="47" spans="1:12" ht="13.5" customHeight="1">
      <c r="A47" s="393" t="s">
        <v>1365</v>
      </c>
      <c r="B47" s="393"/>
      <c r="C47" s="393"/>
      <c r="D47" s="393"/>
      <c r="E47" s="393"/>
      <c r="F47" s="393"/>
      <c r="G47" s="14">
        <v>39</v>
      </c>
      <c r="H47" s="15"/>
      <c r="I47" s="229">
        <v>189.79</v>
      </c>
      <c r="J47" s="229">
        <v>209.72</v>
      </c>
      <c r="L47" s="2" t="s">
        <v>1674</v>
      </c>
    </row>
    <row r="48" spans="1:12" ht="13.5" customHeight="1">
      <c r="A48" s="393" t="s">
        <v>1366</v>
      </c>
      <c r="B48" s="393"/>
      <c r="C48" s="393"/>
      <c r="D48" s="393"/>
      <c r="E48" s="393"/>
      <c r="F48" s="393"/>
      <c r="G48" s="14">
        <v>40</v>
      </c>
      <c r="H48" s="15"/>
      <c r="I48" s="229"/>
      <c r="J48" s="229"/>
      <c r="L48" s="2" t="s">
        <v>1674</v>
      </c>
    </row>
    <row r="49" spans="1:12" ht="13.5" customHeight="1">
      <c r="A49" s="393" t="s">
        <v>1367</v>
      </c>
      <c r="B49" s="393"/>
      <c r="C49" s="393"/>
      <c r="D49" s="393"/>
      <c r="E49" s="393"/>
      <c r="F49" s="393"/>
      <c r="G49" s="14">
        <v>41</v>
      </c>
      <c r="H49" s="15"/>
      <c r="I49" s="229"/>
      <c r="J49" s="229"/>
      <c r="L49" s="2" t="s">
        <v>1674</v>
      </c>
    </row>
    <row r="50" spans="1:12" ht="13.5" customHeight="1">
      <c r="A50" s="393" t="s">
        <v>1368</v>
      </c>
      <c r="B50" s="393"/>
      <c r="C50" s="393"/>
      <c r="D50" s="393"/>
      <c r="E50" s="393"/>
      <c r="F50" s="393"/>
      <c r="G50" s="14">
        <v>42</v>
      </c>
      <c r="H50" s="15"/>
      <c r="I50" s="229">
        <v>14596.78</v>
      </c>
      <c r="J50" s="229">
        <f>144585.03-123755</f>
        <v>20830.03</v>
      </c>
      <c r="L50" s="2" t="s">
        <v>1674</v>
      </c>
    </row>
    <row r="51" spans="1:12" ht="13.5" customHeight="1">
      <c r="A51" s="393" t="s">
        <v>1369</v>
      </c>
      <c r="B51" s="393"/>
      <c r="C51" s="393"/>
      <c r="D51" s="393"/>
      <c r="E51" s="393"/>
      <c r="F51" s="393"/>
      <c r="G51" s="14">
        <v>43</v>
      </c>
      <c r="H51" s="15"/>
      <c r="I51" s="229">
        <v>36218.6</v>
      </c>
      <c r="J51" s="229">
        <v>54593.73</v>
      </c>
      <c r="L51" s="2" t="s">
        <v>1674</v>
      </c>
    </row>
    <row r="52" spans="1:12" ht="13.5" customHeight="1">
      <c r="A52" s="393" t="s">
        <v>1370</v>
      </c>
      <c r="B52" s="393"/>
      <c r="C52" s="393"/>
      <c r="D52" s="393"/>
      <c r="E52" s="393"/>
      <c r="F52" s="393"/>
      <c r="G52" s="14">
        <v>44</v>
      </c>
      <c r="H52" s="15"/>
      <c r="I52" s="229"/>
      <c r="J52" s="229"/>
      <c r="L52" s="2" t="s">
        <v>1674</v>
      </c>
    </row>
    <row r="53" spans="1:12" ht="13.5" customHeight="1">
      <c r="A53" s="393" t="s">
        <v>1478</v>
      </c>
      <c r="B53" s="393"/>
      <c r="C53" s="393"/>
      <c r="D53" s="393"/>
      <c r="E53" s="393"/>
      <c r="F53" s="393"/>
      <c r="G53" s="14">
        <v>45</v>
      </c>
      <c r="H53" s="15"/>
      <c r="I53" s="229"/>
      <c r="J53" s="229"/>
      <c r="L53" s="2" t="s">
        <v>1674</v>
      </c>
    </row>
    <row r="54" spans="1:12" ht="13.5" customHeight="1">
      <c r="A54" s="392" t="s">
        <v>447</v>
      </c>
      <c r="B54" s="392"/>
      <c r="C54" s="392"/>
      <c r="D54" s="392"/>
      <c r="E54" s="392"/>
      <c r="F54" s="392"/>
      <c r="G54" s="14">
        <v>46</v>
      </c>
      <c r="H54" s="15"/>
      <c r="I54" s="230">
        <f>ROUND(SUM(I55:I60),2)</f>
        <v>385874.45</v>
      </c>
      <c r="J54" s="230">
        <f>ROUND(SUM(J55:J60),2)</f>
        <v>689515.38</v>
      </c>
      <c r="L54" s="2" t="s">
        <v>1674</v>
      </c>
    </row>
    <row r="55" spans="1:12" ht="13.5" customHeight="1">
      <c r="A55" s="393" t="s">
        <v>1479</v>
      </c>
      <c r="B55" s="393"/>
      <c r="C55" s="393"/>
      <c r="D55" s="393"/>
      <c r="E55" s="393"/>
      <c r="F55" s="393"/>
      <c r="G55" s="14">
        <v>47</v>
      </c>
      <c r="H55" s="15"/>
      <c r="I55" s="229"/>
      <c r="J55" s="229"/>
      <c r="L55" s="2" t="s">
        <v>1674</v>
      </c>
    </row>
    <row r="56" spans="1:12" ht="13.5" customHeight="1">
      <c r="A56" s="393" t="s">
        <v>1480</v>
      </c>
      <c r="B56" s="393"/>
      <c r="C56" s="393"/>
      <c r="D56" s="393"/>
      <c r="E56" s="393"/>
      <c r="F56" s="393"/>
      <c r="G56" s="14">
        <v>48</v>
      </c>
      <c r="H56" s="15"/>
      <c r="I56" s="229">
        <v>3393.61</v>
      </c>
      <c r="J56" s="229">
        <f>5398.27+183405.67</f>
        <v>188803.94</v>
      </c>
      <c r="L56" s="2" t="s">
        <v>1674</v>
      </c>
    </row>
    <row r="57" spans="1:12" ht="13.5" customHeight="1">
      <c r="A57" s="393" t="s">
        <v>435</v>
      </c>
      <c r="B57" s="393"/>
      <c r="C57" s="393"/>
      <c r="D57" s="393"/>
      <c r="E57" s="393"/>
      <c r="F57" s="393"/>
      <c r="G57" s="14">
        <v>49</v>
      </c>
      <c r="H57" s="15"/>
      <c r="I57" s="229">
        <f>173613.84+2618.93</f>
        <v>176232.77</v>
      </c>
      <c r="J57" s="229">
        <f>119974.37+148.12</f>
        <v>120122.48999999999</v>
      </c>
      <c r="L57" s="2" t="s">
        <v>1674</v>
      </c>
    </row>
    <row r="58" spans="1:12" ht="13.5" customHeight="1">
      <c r="A58" s="393" t="s">
        <v>1481</v>
      </c>
      <c r="B58" s="393"/>
      <c r="C58" s="393"/>
      <c r="D58" s="393"/>
      <c r="E58" s="393"/>
      <c r="F58" s="393"/>
      <c r="G58" s="14">
        <v>50</v>
      </c>
      <c r="H58" s="15"/>
      <c r="I58" s="229"/>
      <c r="J58" s="229"/>
      <c r="L58" s="2" t="s">
        <v>1674</v>
      </c>
    </row>
    <row r="59" spans="1:12" ht="13.5" customHeight="1">
      <c r="A59" s="393" t="s">
        <v>1482</v>
      </c>
      <c r="B59" s="393"/>
      <c r="C59" s="393"/>
      <c r="D59" s="393"/>
      <c r="E59" s="393"/>
      <c r="F59" s="393"/>
      <c r="G59" s="14">
        <v>51</v>
      </c>
      <c r="H59" s="15"/>
      <c r="I59" s="229">
        <f>109556.45+1686.99</f>
        <v>111243.44</v>
      </c>
      <c r="J59" s="229">
        <f>301109.93+370.41</f>
        <v>301480.33999999997</v>
      </c>
      <c r="L59" s="2" t="s">
        <v>1674</v>
      </c>
    </row>
    <row r="60" spans="1:12" ht="13.5" customHeight="1">
      <c r="A60" s="393" t="s">
        <v>437</v>
      </c>
      <c r="B60" s="393"/>
      <c r="C60" s="393"/>
      <c r="D60" s="393"/>
      <c r="E60" s="393"/>
      <c r="F60" s="393"/>
      <c r="G60" s="14">
        <v>52</v>
      </c>
      <c r="H60" s="15"/>
      <c r="I60" s="229">
        <v>95004.63</v>
      </c>
      <c r="J60" s="229">
        <f>243261.49-183405.67-17162.91+36415.7</f>
        <v>79108.60999999997</v>
      </c>
      <c r="L60" s="2" t="s">
        <v>1674</v>
      </c>
    </row>
    <row r="61" spans="1:12" ht="13.5" customHeight="1">
      <c r="A61" s="392" t="s">
        <v>448</v>
      </c>
      <c r="B61" s="392"/>
      <c r="C61" s="392"/>
      <c r="D61" s="392"/>
      <c r="E61" s="392"/>
      <c r="F61" s="392"/>
      <c r="G61" s="14">
        <v>53</v>
      </c>
      <c r="H61" s="15"/>
      <c r="I61" s="230">
        <f>ROUND(SUM(I62:I70),2)</f>
        <v>2592354.51</v>
      </c>
      <c r="J61" s="230">
        <f>ROUND(SUM(J62:J70),2)</f>
        <v>4862143.09</v>
      </c>
      <c r="L61" s="2" t="s">
        <v>1674</v>
      </c>
    </row>
    <row r="62" spans="1:12" ht="13.5" customHeight="1">
      <c r="A62" s="393" t="s">
        <v>2082</v>
      </c>
      <c r="B62" s="393"/>
      <c r="C62" s="393"/>
      <c r="D62" s="393"/>
      <c r="E62" s="393"/>
      <c r="F62" s="393"/>
      <c r="G62" s="14">
        <v>54</v>
      </c>
      <c r="H62" s="15"/>
      <c r="I62" s="229"/>
      <c r="J62" s="229"/>
      <c r="L62" s="2" t="s">
        <v>1674</v>
      </c>
    </row>
    <row r="63" spans="1:12" ht="13.5" customHeight="1">
      <c r="A63" s="393" t="s">
        <v>2083</v>
      </c>
      <c r="B63" s="393"/>
      <c r="C63" s="393"/>
      <c r="D63" s="393"/>
      <c r="E63" s="393"/>
      <c r="F63" s="393"/>
      <c r="G63" s="14">
        <v>55</v>
      </c>
      <c r="H63" s="15"/>
      <c r="I63" s="229"/>
      <c r="J63" s="229"/>
      <c r="L63" s="2" t="s">
        <v>1674</v>
      </c>
    </row>
    <row r="64" spans="1:12" ht="13.5" customHeight="1">
      <c r="A64" s="393" t="s">
        <v>2084</v>
      </c>
      <c r="B64" s="393"/>
      <c r="C64" s="393"/>
      <c r="D64" s="393"/>
      <c r="E64" s="393"/>
      <c r="F64" s="393"/>
      <c r="G64" s="14">
        <v>56</v>
      </c>
      <c r="H64" s="15"/>
      <c r="I64" s="229"/>
      <c r="J64" s="229"/>
      <c r="L64" s="2" t="s">
        <v>1674</v>
      </c>
    </row>
    <row r="65" spans="1:12" ht="24.75" customHeight="1">
      <c r="A65" s="393" t="s">
        <v>1469</v>
      </c>
      <c r="B65" s="393"/>
      <c r="C65" s="393"/>
      <c r="D65" s="393"/>
      <c r="E65" s="393"/>
      <c r="F65" s="393"/>
      <c r="G65" s="14">
        <v>57</v>
      </c>
      <c r="H65" s="15"/>
      <c r="I65" s="229"/>
      <c r="J65" s="229"/>
      <c r="L65" s="2" t="s">
        <v>1674</v>
      </c>
    </row>
    <row r="66" spans="1:12" ht="24.75" customHeight="1">
      <c r="A66" s="393" t="s">
        <v>1795</v>
      </c>
      <c r="B66" s="393"/>
      <c r="C66" s="393"/>
      <c r="D66" s="393"/>
      <c r="E66" s="393"/>
      <c r="F66" s="393"/>
      <c r="G66" s="14">
        <v>58</v>
      </c>
      <c r="H66" s="15"/>
      <c r="I66" s="229"/>
      <c r="J66" s="229"/>
      <c r="L66" s="2" t="s">
        <v>1674</v>
      </c>
    </row>
    <row r="67" spans="1:12" ht="24.75" customHeight="1">
      <c r="A67" s="393" t="s">
        <v>1468</v>
      </c>
      <c r="B67" s="393"/>
      <c r="C67" s="393"/>
      <c r="D67" s="393"/>
      <c r="E67" s="393"/>
      <c r="F67" s="393"/>
      <c r="G67" s="14">
        <v>59</v>
      </c>
      <c r="H67" s="15"/>
      <c r="I67" s="229"/>
      <c r="J67" s="229"/>
      <c r="L67" s="2" t="s">
        <v>1674</v>
      </c>
    </row>
    <row r="68" spans="1:12" ht="13.5" customHeight="1">
      <c r="A68" s="393" t="s">
        <v>2085</v>
      </c>
      <c r="B68" s="393"/>
      <c r="C68" s="393"/>
      <c r="D68" s="393"/>
      <c r="E68" s="393"/>
      <c r="F68" s="393"/>
      <c r="G68" s="14">
        <v>60</v>
      </c>
      <c r="H68" s="15"/>
      <c r="I68" s="229"/>
      <c r="J68" s="229"/>
      <c r="L68" s="2" t="s">
        <v>1674</v>
      </c>
    </row>
    <row r="69" spans="1:12" ht="13.5" customHeight="1">
      <c r="A69" s="393" t="s">
        <v>2086</v>
      </c>
      <c r="B69" s="393"/>
      <c r="C69" s="393"/>
      <c r="D69" s="393"/>
      <c r="E69" s="393"/>
      <c r="F69" s="393"/>
      <c r="G69" s="14">
        <v>61</v>
      </c>
      <c r="H69" s="15"/>
      <c r="I69" s="229">
        <v>2592354.51</v>
      </c>
      <c r="J69" s="229">
        <f>5344980.18-500000+17162.91</f>
        <v>4862143.09</v>
      </c>
      <c r="L69" s="2" t="s">
        <v>1674</v>
      </c>
    </row>
    <row r="70" spans="1:12" ht="13.5" customHeight="1">
      <c r="A70" s="393" t="s">
        <v>2629</v>
      </c>
      <c r="B70" s="393"/>
      <c r="C70" s="393"/>
      <c r="D70" s="393"/>
      <c r="E70" s="393"/>
      <c r="F70" s="393"/>
      <c r="G70" s="14">
        <v>62</v>
      </c>
      <c r="H70" s="15"/>
      <c r="I70" s="229"/>
      <c r="J70" s="229"/>
      <c r="L70" s="2" t="s">
        <v>1674</v>
      </c>
    </row>
    <row r="71" spans="1:12" ht="13.5" customHeight="1">
      <c r="A71" s="392" t="s">
        <v>2349</v>
      </c>
      <c r="B71" s="392"/>
      <c r="C71" s="392"/>
      <c r="D71" s="392"/>
      <c r="E71" s="392"/>
      <c r="F71" s="392"/>
      <c r="G71" s="14">
        <v>63</v>
      </c>
      <c r="H71" s="15"/>
      <c r="I71" s="229">
        <f>1905954.26+63168.21+610.89</f>
        <v>1969733.3599999999</v>
      </c>
      <c r="J71" s="229">
        <f>660839.16+64991.72+302.08</f>
        <v>726132.96</v>
      </c>
      <c r="L71" s="2" t="s">
        <v>1674</v>
      </c>
    </row>
    <row r="72" spans="1:10" ht="24.75" customHeight="1">
      <c r="A72" s="396" t="s">
        <v>2156</v>
      </c>
      <c r="B72" s="396"/>
      <c r="C72" s="396"/>
      <c r="D72" s="396"/>
      <c r="E72" s="396"/>
      <c r="F72" s="396"/>
      <c r="G72" s="14">
        <v>64</v>
      </c>
      <c r="H72" s="15"/>
      <c r="I72" s="229"/>
      <c r="J72" s="229"/>
    </row>
    <row r="73" spans="1:12" ht="13.5" customHeight="1">
      <c r="A73" s="396" t="s">
        <v>449</v>
      </c>
      <c r="B73" s="396"/>
      <c r="C73" s="396"/>
      <c r="D73" s="396"/>
      <c r="E73" s="396"/>
      <c r="F73" s="396"/>
      <c r="G73" s="14">
        <v>65</v>
      </c>
      <c r="H73" s="15"/>
      <c r="I73" s="230">
        <f>ROUND(I9+I10+I45+I72,2)</f>
        <v>43080255.93</v>
      </c>
      <c r="J73" s="230">
        <f>ROUND(J9+J10+J45+J72,2)</f>
        <v>60591078.8</v>
      </c>
      <c r="L73" s="2" t="s">
        <v>1674</v>
      </c>
    </row>
    <row r="74" spans="1:12" ht="13.5" customHeight="1">
      <c r="A74" s="397" t="s">
        <v>187</v>
      </c>
      <c r="B74" s="397"/>
      <c r="C74" s="397"/>
      <c r="D74" s="397"/>
      <c r="E74" s="397"/>
      <c r="F74" s="397"/>
      <c r="G74" s="16">
        <v>66</v>
      </c>
      <c r="H74" s="17"/>
      <c r="I74" s="231">
        <v>10673740.05</v>
      </c>
      <c r="J74" s="231">
        <v>182884.93</v>
      </c>
      <c r="L74" s="2" t="s">
        <v>1674</v>
      </c>
    </row>
    <row r="75" spans="1:10" ht="13.5" customHeight="1">
      <c r="A75" s="394" t="s">
        <v>2231</v>
      </c>
      <c r="B75" s="395"/>
      <c r="C75" s="395"/>
      <c r="D75" s="395"/>
      <c r="E75" s="395"/>
      <c r="F75" s="395"/>
      <c r="G75" s="395"/>
      <c r="H75" s="395"/>
      <c r="I75" s="395"/>
      <c r="J75" s="395"/>
    </row>
    <row r="76" spans="1:12" ht="13.5" customHeight="1">
      <c r="A76" s="396" t="s">
        <v>2405</v>
      </c>
      <c r="B76" s="396"/>
      <c r="C76" s="396"/>
      <c r="D76" s="396"/>
      <c r="E76" s="396"/>
      <c r="F76" s="396"/>
      <c r="G76" s="14">
        <v>67</v>
      </c>
      <c r="H76" s="15"/>
      <c r="I76" s="230">
        <f>ROUND(I77+I78+I79+I85+I86+I92+I95+I98,2)</f>
        <v>29214924</v>
      </c>
      <c r="J76" s="230">
        <f>ROUND(J77+J78+J79+J85+J86+J92+J95+J98,2)</f>
        <v>37263953.14</v>
      </c>
      <c r="L76" s="2" t="s">
        <v>391</v>
      </c>
    </row>
    <row r="77" spans="1:12" ht="13.5" customHeight="1">
      <c r="A77" s="392" t="s">
        <v>2564</v>
      </c>
      <c r="B77" s="392"/>
      <c r="C77" s="392"/>
      <c r="D77" s="392"/>
      <c r="E77" s="392"/>
      <c r="F77" s="392"/>
      <c r="G77" s="14">
        <v>68</v>
      </c>
      <c r="H77" s="15"/>
      <c r="I77" s="229">
        <v>14165541.18</v>
      </c>
      <c r="J77" s="229">
        <v>14165541</v>
      </c>
      <c r="L77" s="2" t="s">
        <v>1674</v>
      </c>
    </row>
    <row r="78" spans="1:12" ht="13.5" customHeight="1">
      <c r="A78" s="392" t="s">
        <v>2565</v>
      </c>
      <c r="B78" s="392"/>
      <c r="C78" s="392"/>
      <c r="D78" s="392"/>
      <c r="E78" s="392"/>
      <c r="F78" s="392"/>
      <c r="G78" s="14">
        <v>69</v>
      </c>
      <c r="H78" s="15"/>
      <c r="I78" s="229">
        <v>11894389.65</v>
      </c>
      <c r="J78" s="229">
        <v>12005368.84</v>
      </c>
      <c r="L78" s="2" t="s">
        <v>391</v>
      </c>
    </row>
    <row r="79" spans="1:12" ht="13.5" customHeight="1">
      <c r="A79" s="392" t="s">
        <v>2056</v>
      </c>
      <c r="B79" s="392"/>
      <c r="C79" s="392"/>
      <c r="D79" s="392"/>
      <c r="E79" s="392"/>
      <c r="F79" s="392"/>
      <c r="G79" s="14">
        <v>70</v>
      </c>
      <c r="H79" s="15"/>
      <c r="I79" s="230">
        <f>ROUND(I80+I81-I82+I83+I84,2)</f>
        <v>75840.32</v>
      </c>
      <c r="J79" s="230">
        <f>ROUND(J80+J81-J82+J83+J84,2)</f>
        <v>75840.32</v>
      </c>
      <c r="L79" s="2" t="s">
        <v>391</v>
      </c>
    </row>
    <row r="80" spans="1:12" ht="13.5" customHeight="1">
      <c r="A80" s="393" t="s">
        <v>440</v>
      </c>
      <c r="B80" s="393"/>
      <c r="C80" s="393"/>
      <c r="D80" s="393"/>
      <c r="E80" s="393"/>
      <c r="F80" s="393"/>
      <c r="G80" s="14">
        <v>71</v>
      </c>
      <c r="H80" s="15"/>
      <c r="I80" s="229">
        <v>75840.32</v>
      </c>
      <c r="J80" s="229">
        <v>75840.32</v>
      </c>
      <c r="L80" s="2" t="s">
        <v>391</v>
      </c>
    </row>
    <row r="81" spans="1:12" ht="13.5" customHeight="1">
      <c r="A81" s="393" t="s">
        <v>441</v>
      </c>
      <c r="B81" s="393"/>
      <c r="C81" s="393"/>
      <c r="D81" s="393"/>
      <c r="E81" s="393"/>
      <c r="F81" s="393"/>
      <c r="G81" s="14">
        <v>72</v>
      </c>
      <c r="H81" s="15"/>
      <c r="I81" s="229">
        <v>192853.98</v>
      </c>
      <c r="J81" s="229">
        <v>72711.75</v>
      </c>
      <c r="L81" s="2" t="s">
        <v>391</v>
      </c>
    </row>
    <row r="82" spans="1:12" ht="13.5" customHeight="1">
      <c r="A82" s="393" t="s">
        <v>543</v>
      </c>
      <c r="B82" s="393"/>
      <c r="C82" s="393"/>
      <c r="D82" s="393"/>
      <c r="E82" s="393"/>
      <c r="F82" s="393"/>
      <c r="G82" s="14">
        <v>73</v>
      </c>
      <c r="H82" s="15"/>
      <c r="I82" s="229">
        <v>192853.98</v>
      </c>
      <c r="J82" s="229">
        <v>72711.75</v>
      </c>
      <c r="L82" s="2" t="s">
        <v>391</v>
      </c>
    </row>
    <row r="83" spans="1:12" ht="13.5" customHeight="1">
      <c r="A83" s="393" t="s">
        <v>544</v>
      </c>
      <c r="B83" s="393"/>
      <c r="C83" s="393"/>
      <c r="D83" s="393"/>
      <c r="E83" s="393"/>
      <c r="F83" s="393"/>
      <c r="G83" s="14">
        <v>74</v>
      </c>
      <c r="H83" s="15"/>
      <c r="I83" s="229"/>
      <c r="J83" s="229"/>
      <c r="L83" s="2" t="s">
        <v>391</v>
      </c>
    </row>
    <row r="84" spans="1:12" ht="13.5" customHeight="1">
      <c r="A84" s="393" t="s">
        <v>545</v>
      </c>
      <c r="B84" s="393"/>
      <c r="C84" s="393"/>
      <c r="D84" s="393"/>
      <c r="E84" s="393"/>
      <c r="F84" s="393"/>
      <c r="G84" s="14">
        <v>75</v>
      </c>
      <c r="H84" s="15"/>
      <c r="I84" s="229"/>
      <c r="J84" s="229"/>
      <c r="L84" s="2" t="s">
        <v>391</v>
      </c>
    </row>
    <row r="85" spans="1:12" ht="13.5" customHeight="1">
      <c r="A85" s="392" t="s">
        <v>1331</v>
      </c>
      <c r="B85" s="392"/>
      <c r="C85" s="392"/>
      <c r="D85" s="392"/>
      <c r="E85" s="392"/>
      <c r="F85" s="392"/>
      <c r="G85" s="14">
        <v>76</v>
      </c>
      <c r="H85" s="15"/>
      <c r="I85" s="229"/>
      <c r="J85" s="229"/>
      <c r="L85" s="2" t="s">
        <v>391</v>
      </c>
    </row>
    <row r="86" spans="1:12" ht="13.5" customHeight="1">
      <c r="A86" s="392" t="s">
        <v>1582</v>
      </c>
      <c r="B86" s="392"/>
      <c r="C86" s="392"/>
      <c r="D86" s="392"/>
      <c r="E86" s="392"/>
      <c r="F86" s="392"/>
      <c r="G86" s="14">
        <v>77</v>
      </c>
      <c r="H86" s="15"/>
      <c r="I86" s="230">
        <f>ROUND(SUM(I87:I91),2)</f>
        <v>-2528707.37</v>
      </c>
      <c r="J86" s="230">
        <f>ROUND(SUM(J87:J91),2)</f>
        <v>2013936.79</v>
      </c>
      <c r="L86" s="2" t="s">
        <v>391</v>
      </c>
    </row>
    <row r="87" spans="1:12" ht="24.75" customHeight="1">
      <c r="A87" s="393" t="s">
        <v>958</v>
      </c>
      <c r="B87" s="393"/>
      <c r="C87" s="393"/>
      <c r="D87" s="393"/>
      <c r="E87" s="393"/>
      <c r="F87" s="393"/>
      <c r="G87" s="14">
        <v>78</v>
      </c>
      <c r="H87" s="15"/>
      <c r="I87" s="229">
        <v>-2528707.37</v>
      </c>
      <c r="J87" s="229">
        <f>2456020.47-442083.68</f>
        <v>2013936.7900000003</v>
      </c>
      <c r="L87" s="2" t="s">
        <v>391</v>
      </c>
    </row>
    <row r="88" spans="1:12" ht="13.5" customHeight="1">
      <c r="A88" s="393" t="s">
        <v>546</v>
      </c>
      <c r="B88" s="393"/>
      <c r="C88" s="393"/>
      <c r="D88" s="393"/>
      <c r="E88" s="393"/>
      <c r="F88" s="393"/>
      <c r="G88" s="14">
        <v>79</v>
      </c>
      <c r="H88" s="15"/>
      <c r="I88" s="229"/>
      <c r="J88" s="229"/>
      <c r="L88" s="2" t="s">
        <v>391</v>
      </c>
    </row>
    <row r="89" spans="1:12" ht="13.5" customHeight="1">
      <c r="A89" s="393" t="s">
        <v>547</v>
      </c>
      <c r="B89" s="393"/>
      <c r="C89" s="393"/>
      <c r="D89" s="393"/>
      <c r="E89" s="393"/>
      <c r="F89" s="393"/>
      <c r="G89" s="14">
        <v>80</v>
      </c>
      <c r="H89" s="15"/>
      <c r="I89" s="229"/>
      <c r="J89" s="229"/>
      <c r="L89" s="2" t="s">
        <v>391</v>
      </c>
    </row>
    <row r="90" spans="1:12" ht="13.5" customHeight="1">
      <c r="A90" s="393" t="s">
        <v>1583</v>
      </c>
      <c r="B90" s="393"/>
      <c r="C90" s="393"/>
      <c r="D90" s="393"/>
      <c r="E90" s="393"/>
      <c r="F90" s="393"/>
      <c r="G90" s="14">
        <v>81</v>
      </c>
      <c r="H90" s="15"/>
      <c r="I90" s="229"/>
      <c r="J90" s="229"/>
      <c r="L90" s="2" t="s">
        <v>391</v>
      </c>
    </row>
    <row r="91" spans="1:12" ht="25.5" customHeight="1">
      <c r="A91" s="393" t="s">
        <v>957</v>
      </c>
      <c r="B91" s="393"/>
      <c r="C91" s="393"/>
      <c r="D91" s="393"/>
      <c r="E91" s="393"/>
      <c r="F91" s="393"/>
      <c r="G91" s="14">
        <v>82</v>
      </c>
      <c r="H91" s="15"/>
      <c r="I91" s="229"/>
      <c r="J91" s="229"/>
      <c r="L91" s="2" t="s">
        <v>391</v>
      </c>
    </row>
    <row r="92" spans="1:12" ht="13.5" customHeight="1">
      <c r="A92" s="392" t="s">
        <v>1584</v>
      </c>
      <c r="B92" s="392"/>
      <c r="C92" s="392"/>
      <c r="D92" s="392"/>
      <c r="E92" s="392"/>
      <c r="F92" s="392"/>
      <c r="G92" s="14">
        <v>83</v>
      </c>
      <c r="H92" s="15"/>
      <c r="I92" s="230">
        <f>ROUND(I93-I94,2)</f>
        <v>2411360.1</v>
      </c>
      <c r="J92" s="230">
        <f>ROUND(J93-J94,2)</f>
        <v>3807986.55</v>
      </c>
      <c r="L92" s="2" t="s">
        <v>391</v>
      </c>
    </row>
    <row r="93" spans="1:12" ht="13.5" customHeight="1">
      <c r="A93" s="393" t="s">
        <v>548</v>
      </c>
      <c r="B93" s="393"/>
      <c r="C93" s="393"/>
      <c r="D93" s="393"/>
      <c r="E93" s="393"/>
      <c r="F93" s="393"/>
      <c r="G93" s="14">
        <v>84</v>
      </c>
      <c r="H93" s="15"/>
      <c r="I93" s="229">
        <f>2357603.08+63813.18-1755.08-8301.08</f>
        <v>2411360.1</v>
      </c>
      <c r="J93" s="229">
        <f>3753579.74+64765.52-2057.63-8301.08</f>
        <v>3807986.5500000003</v>
      </c>
      <c r="L93" s="2" t="s">
        <v>1674</v>
      </c>
    </row>
    <row r="94" spans="1:12" ht="13.5" customHeight="1">
      <c r="A94" s="393" t="s">
        <v>549</v>
      </c>
      <c r="B94" s="393"/>
      <c r="C94" s="393"/>
      <c r="D94" s="393"/>
      <c r="E94" s="393"/>
      <c r="F94" s="393"/>
      <c r="G94" s="14">
        <v>85</v>
      </c>
      <c r="H94" s="15"/>
      <c r="I94" s="229"/>
      <c r="J94" s="229"/>
      <c r="L94" s="2" t="s">
        <v>1674</v>
      </c>
    </row>
    <row r="95" spans="1:10" ht="13.5" customHeight="1">
      <c r="A95" s="392" t="s">
        <v>1585</v>
      </c>
      <c r="B95" s="392"/>
      <c r="C95" s="392"/>
      <c r="D95" s="392"/>
      <c r="E95" s="392"/>
      <c r="F95" s="392"/>
      <c r="G95" s="14">
        <v>86</v>
      </c>
      <c r="H95" s="15"/>
      <c r="I95" s="230">
        <f>ROUND(I96-I97,2)</f>
        <v>3196500.12</v>
      </c>
      <c r="J95" s="230">
        <f>ROUND(J96-J97,2)</f>
        <v>5195279.64</v>
      </c>
    </row>
    <row r="96" spans="1:12" ht="13.5" customHeight="1">
      <c r="A96" s="393" t="s">
        <v>439</v>
      </c>
      <c r="B96" s="393"/>
      <c r="C96" s="393"/>
      <c r="D96" s="393"/>
      <c r="E96" s="393"/>
      <c r="F96" s="393"/>
      <c r="G96" s="14">
        <v>87</v>
      </c>
      <c r="H96" s="15"/>
      <c r="I96" s="229">
        <f>3195850.33+952.34-302.55</f>
        <v>3196500.12</v>
      </c>
      <c r="J96" s="229">
        <f>5197681.26-2091.73-309.89</f>
        <v>5195279.64</v>
      </c>
      <c r="L96" s="2" t="s">
        <v>1674</v>
      </c>
    </row>
    <row r="97" spans="1:12" ht="13.5" customHeight="1">
      <c r="A97" s="393" t="s">
        <v>550</v>
      </c>
      <c r="B97" s="393"/>
      <c r="C97" s="393"/>
      <c r="D97" s="393"/>
      <c r="E97" s="393"/>
      <c r="F97" s="393"/>
      <c r="G97" s="14">
        <v>88</v>
      </c>
      <c r="H97" s="15"/>
      <c r="I97" s="229"/>
      <c r="J97" s="229"/>
      <c r="L97" s="2" t="s">
        <v>1674</v>
      </c>
    </row>
    <row r="98" spans="1:10" ht="13.5" customHeight="1">
      <c r="A98" s="392" t="s">
        <v>2125</v>
      </c>
      <c r="B98" s="392"/>
      <c r="C98" s="392"/>
      <c r="D98" s="392"/>
      <c r="E98" s="392"/>
      <c r="F98" s="392"/>
      <c r="G98" s="14">
        <v>89</v>
      </c>
      <c r="H98" s="15"/>
      <c r="I98" s="229"/>
      <c r="J98" s="229"/>
    </row>
    <row r="99" spans="1:12" ht="13.5" customHeight="1">
      <c r="A99" s="396" t="s">
        <v>1586</v>
      </c>
      <c r="B99" s="396"/>
      <c r="C99" s="396"/>
      <c r="D99" s="396"/>
      <c r="E99" s="396"/>
      <c r="F99" s="396"/>
      <c r="G99" s="14">
        <v>90</v>
      </c>
      <c r="H99" s="15"/>
      <c r="I99" s="230">
        <f>ROUND(SUM(I100:I105),2)</f>
        <v>205898</v>
      </c>
      <c r="J99" s="230">
        <f>ROUND(SUM(J100:J105),2)</f>
        <v>200203.26</v>
      </c>
      <c r="L99" s="2" t="s">
        <v>1674</v>
      </c>
    </row>
    <row r="100" spans="1:12" ht="13.5" customHeight="1">
      <c r="A100" s="393" t="s">
        <v>2862</v>
      </c>
      <c r="B100" s="393"/>
      <c r="C100" s="393"/>
      <c r="D100" s="393"/>
      <c r="E100" s="393"/>
      <c r="F100" s="393"/>
      <c r="G100" s="14">
        <v>91</v>
      </c>
      <c r="H100" s="15"/>
      <c r="I100" s="229"/>
      <c r="J100" s="229"/>
      <c r="L100" s="2" t="s">
        <v>1674</v>
      </c>
    </row>
    <row r="101" spans="1:12" ht="13.5" customHeight="1">
      <c r="A101" s="393" t="s">
        <v>2863</v>
      </c>
      <c r="B101" s="393"/>
      <c r="C101" s="393"/>
      <c r="D101" s="393"/>
      <c r="E101" s="393"/>
      <c r="F101" s="393"/>
      <c r="G101" s="14">
        <v>92</v>
      </c>
      <c r="H101" s="15"/>
      <c r="I101" s="229"/>
      <c r="J101" s="229"/>
      <c r="L101" s="2" t="s">
        <v>1674</v>
      </c>
    </row>
    <row r="102" spans="1:12" ht="13.5" customHeight="1">
      <c r="A102" s="393" t="s">
        <v>438</v>
      </c>
      <c r="B102" s="393"/>
      <c r="C102" s="393"/>
      <c r="D102" s="393"/>
      <c r="E102" s="393"/>
      <c r="F102" s="393"/>
      <c r="G102" s="14">
        <v>93</v>
      </c>
      <c r="H102" s="15"/>
      <c r="I102" s="229">
        <v>172539.65</v>
      </c>
      <c r="J102" s="229">
        <v>172539.64</v>
      </c>
      <c r="L102" s="2" t="s">
        <v>1674</v>
      </c>
    </row>
    <row r="103" spans="1:12" ht="13.5" customHeight="1">
      <c r="A103" s="393" t="s">
        <v>551</v>
      </c>
      <c r="B103" s="393"/>
      <c r="C103" s="393"/>
      <c r="D103" s="393"/>
      <c r="E103" s="393"/>
      <c r="F103" s="393"/>
      <c r="G103" s="14">
        <v>94</v>
      </c>
      <c r="H103" s="15"/>
      <c r="I103" s="229"/>
      <c r="J103" s="229"/>
      <c r="L103" s="2" t="s">
        <v>1674</v>
      </c>
    </row>
    <row r="104" spans="1:12" ht="13.5" customHeight="1">
      <c r="A104" s="393" t="s">
        <v>452</v>
      </c>
      <c r="B104" s="393"/>
      <c r="C104" s="393"/>
      <c r="D104" s="393"/>
      <c r="E104" s="393"/>
      <c r="F104" s="393"/>
      <c r="G104" s="14">
        <v>95</v>
      </c>
      <c r="H104" s="15"/>
      <c r="I104" s="229"/>
      <c r="J104" s="229"/>
      <c r="L104" s="2" t="s">
        <v>1674</v>
      </c>
    </row>
    <row r="105" spans="1:12" ht="13.5" customHeight="1">
      <c r="A105" s="393" t="s">
        <v>2126</v>
      </c>
      <c r="B105" s="393"/>
      <c r="C105" s="393"/>
      <c r="D105" s="393"/>
      <c r="E105" s="393"/>
      <c r="F105" s="393"/>
      <c r="G105" s="14">
        <v>96</v>
      </c>
      <c r="H105" s="15"/>
      <c r="I105" s="229">
        <v>33358.35</v>
      </c>
      <c r="J105" s="229">
        <v>27663.62</v>
      </c>
      <c r="L105" s="2" t="s">
        <v>1674</v>
      </c>
    </row>
    <row r="106" spans="1:12" ht="13.5" customHeight="1">
      <c r="A106" s="396" t="s">
        <v>1587</v>
      </c>
      <c r="B106" s="396"/>
      <c r="C106" s="396"/>
      <c r="D106" s="396"/>
      <c r="E106" s="396"/>
      <c r="F106" s="396"/>
      <c r="G106" s="14">
        <v>97</v>
      </c>
      <c r="H106" s="15"/>
      <c r="I106" s="230">
        <f>ROUND(SUM(I107:I117),2)</f>
        <v>11437489.04</v>
      </c>
      <c r="J106" s="230">
        <f>ROUND(SUM(J107:J117),2)</f>
        <v>20137311.69</v>
      </c>
      <c r="L106" s="2" t="s">
        <v>1674</v>
      </c>
    </row>
    <row r="107" spans="1:12" ht="13.5" customHeight="1">
      <c r="A107" s="393" t="s">
        <v>2127</v>
      </c>
      <c r="B107" s="393"/>
      <c r="C107" s="393"/>
      <c r="D107" s="393"/>
      <c r="E107" s="393"/>
      <c r="F107" s="393"/>
      <c r="G107" s="14">
        <v>98</v>
      </c>
      <c r="H107" s="15"/>
      <c r="I107" s="229"/>
      <c r="J107" s="229"/>
      <c r="L107" s="2" t="s">
        <v>1674</v>
      </c>
    </row>
    <row r="108" spans="1:12" ht="13.5" customHeight="1">
      <c r="A108" s="393" t="s">
        <v>1487</v>
      </c>
      <c r="B108" s="393"/>
      <c r="C108" s="393"/>
      <c r="D108" s="393"/>
      <c r="E108" s="393"/>
      <c r="F108" s="393"/>
      <c r="G108" s="14">
        <v>99</v>
      </c>
      <c r="H108" s="15"/>
      <c r="I108" s="229"/>
      <c r="J108" s="229"/>
      <c r="L108" s="2" t="s">
        <v>1674</v>
      </c>
    </row>
    <row r="109" spans="1:12" ht="13.5" customHeight="1">
      <c r="A109" s="393" t="s">
        <v>1491</v>
      </c>
      <c r="B109" s="393"/>
      <c r="C109" s="393"/>
      <c r="D109" s="393"/>
      <c r="E109" s="393"/>
      <c r="F109" s="393"/>
      <c r="G109" s="14">
        <v>100</v>
      </c>
      <c r="H109" s="15"/>
      <c r="I109" s="229"/>
      <c r="J109" s="229"/>
      <c r="L109" s="2" t="s">
        <v>1674</v>
      </c>
    </row>
    <row r="110" spans="1:12" ht="24.75" customHeight="1">
      <c r="A110" s="393" t="s">
        <v>2157</v>
      </c>
      <c r="B110" s="393"/>
      <c r="C110" s="393"/>
      <c r="D110" s="393"/>
      <c r="E110" s="393"/>
      <c r="F110" s="393"/>
      <c r="G110" s="14">
        <v>101</v>
      </c>
      <c r="H110" s="15"/>
      <c r="I110" s="229">
        <v>862698.25</v>
      </c>
      <c r="J110" s="229">
        <v>729975.44</v>
      </c>
      <c r="L110" s="2" t="s">
        <v>1674</v>
      </c>
    </row>
    <row r="111" spans="1:12" ht="13.5" customHeight="1">
      <c r="A111" s="393" t="s">
        <v>1492</v>
      </c>
      <c r="B111" s="393"/>
      <c r="C111" s="393"/>
      <c r="D111" s="393"/>
      <c r="E111" s="393"/>
      <c r="F111" s="393"/>
      <c r="G111" s="14">
        <v>102</v>
      </c>
      <c r="H111" s="15"/>
      <c r="I111" s="229"/>
      <c r="J111" s="229"/>
      <c r="L111" s="2" t="s">
        <v>1674</v>
      </c>
    </row>
    <row r="112" spans="1:12" ht="13.5" customHeight="1">
      <c r="A112" s="393" t="s">
        <v>1493</v>
      </c>
      <c r="B112" s="393"/>
      <c r="C112" s="393"/>
      <c r="D112" s="393"/>
      <c r="E112" s="393"/>
      <c r="F112" s="393"/>
      <c r="G112" s="14">
        <v>103</v>
      </c>
      <c r="H112" s="15"/>
      <c r="I112" s="229">
        <v>5730713.1</v>
      </c>
      <c r="J112" s="229">
        <v>14243397.05</v>
      </c>
      <c r="L112" s="2" t="s">
        <v>1674</v>
      </c>
    </row>
    <row r="113" spans="1:12" ht="13.5" customHeight="1">
      <c r="A113" s="393" t="s">
        <v>1488</v>
      </c>
      <c r="B113" s="393"/>
      <c r="C113" s="393"/>
      <c r="D113" s="393"/>
      <c r="E113" s="393"/>
      <c r="F113" s="393"/>
      <c r="G113" s="14">
        <v>104</v>
      </c>
      <c r="H113" s="15"/>
      <c r="I113" s="229"/>
      <c r="J113" s="229"/>
      <c r="L113" s="2" t="s">
        <v>1674</v>
      </c>
    </row>
    <row r="114" spans="1:12" ht="13.5" customHeight="1">
      <c r="A114" s="393" t="s">
        <v>1489</v>
      </c>
      <c r="B114" s="393"/>
      <c r="C114" s="393"/>
      <c r="D114" s="393"/>
      <c r="E114" s="393"/>
      <c r="F114" s="393"/>
      <c r="G114" s="14">
        <v>105</v>
      </c>
      <c r="H114" s="15"/>
      <c r="I114" s="229">
        <v>4844077.69</v>
      </c>
      <c r="J114" s="229">
        <v>4721855.52</v>
      </c>
      <c r="L114" s="2" t="s">
        <v>1674</v>
      </c>
    </row>
    <row r="115" spans="1:12" ht="13.5" customHeight="1">
      <c r="A115" s="393" t="s">
        <v>1490</v>
      </c>
      <c r="B115" s="393"/>
      <c r="C115" s="393"/>
      <c r="D115" s="393"/>
      <c r="E115" s="393"/>
      <c r="F115" s="393"/>
      <c r="G115" s="14">
        <v>106</v>
      </c>
      <c r="H115" s="15"/>
      <c r="I115" s="229"/>
      <c r="J115" s="229"/>
      <c r="L115" s="2" t="s">
        <v>1674</v>
      </c>
    </row>
    <row r="116" spans="1:12" ht="13.5" customHeight="1">
      <c r="A116" s="393" t="s">
        <v>453</v>
      </c>
      <c r="B116" s="393"/>
      <c r="C116" s="393"/>
      <c r="D116" s="393"/>
      <c r="E116" s="393"/>
      <c r="F116" s="393"/>
      <c r="G116" s="14">
        <v>107</v>
      </c>
      <c r="H116" s="15"/>
      <c r="I116" s="229"/>
      <c r="J116" s="229"/>
      <c r="L116" s="2" t="s">
        <v>1674</v>
      </c>
    </row>
    <row r="117" spans="1:12" ht="13.5" customHeight="1">
      <c r="A117" s="393" t="s">
        <v>454</v>
      </c>
      <c r="B117" s="393"/>
      <c r="C117" s="393"/>
      <c r="D117" s="393"/>
      <c r="E117" s="393"/>
      <c r="F117" s="393"/>
      <c r="G117" s="14">
        <v>108</v>
      </c>
      <c r="H117" s="15"/>
      <c r="I117" s="229"/>
      <c r="J117" s="229">
        <v>442083.68</v>
      </c>
      <c r="L117" s="2" t="s">
        <v>1674</v>
      </c>
    </row>
    <row r="118" spans="1:12" ht="13.5" customHeight="1">
      <c r="A118" s="396" t="s">
        <v>1588</v>
      </c>
      <c r="B118" s="396"/>
      <c r="C118" s="396"/>
      <c r="D118" s="396"/>
      <c r="E118" s="396"/>
      <c r="F118" s="396"/>
      <c r="G118" s="14">
        <v>109</v>
      </c>
      <c r="H118" s="15"/>
      <c r="I118" s="230">
        <f>ROUND(SUM(I119:I132),2)</f>
        <v>2221944.89</v>
      </c>
      <c r="J118" s="230">
        <f>ROUND(SUM(J119:J132),2)</f>
        <v>2912414.02</v>
      </c>
      <c r="L118" s="2" t="s">
        <v>1674</v>
      </c>
    </row>
    <row r="119" spans="1:12" ht="13.5" customHeight="1">
      <c r="A119" s="393" t="s">
        <v>2127</v>
      </c>
      <c r="B119" s="393"/>
      <c r="C119" s="393"/>
      <c r="D119" s="393"/>
      <c r="E119" s="393"/>
      <c r="F119" s="393"/>
      <c r="G119" s="14">
        <v>110</v>
      </c>
      <c r="H119" s="15"/>
      <c r="I119" s="229"/>
      <c r="J119" s="229"/>
      <c r="L119" s="2" t="s">
        <v>1674</v>
      </c>
    </row>
    <row r="120" spans="1:12" ht="13.5" customHeight="1">
      <c r="A120" s="393" t="s">
        <v>1487</v>
      </c>
      <c r="B120" s="393"/>
      <c r="C120" s="393"/>
      <c r="D120" s="393"/>
      <c r="E120" s="393"/>
      <c r="F120" s="393"/>
      <c r="G120" s="14">
        <v>111</v>
      </c>
      <c r="H120" s="15"/>
      <c r="I120" s="229"/>
      <c r="J120" s="229"/>
      <c r="L120" s="2" t="s">
        <v>1674</v>
      </c>
    </row>
    <row r="121" spans="1:12" ht="13.5" customHeight="1">
      <c r="A121" s="393" t="s">
        <v>1491</v>
      </c>
      <c r="B121" s="393"/>
      <c r="C121" s="393"/>
      <c r="D121" s="393"/>
      <c r="E121" s="393"/>
      <c r="F121" s="393"/>
      <c r="G121" s="14">
        <v>112</v>
      </c>
      <c r="H121" s="15"/>
      <c r="I121" s="229">
        <v>194333.78</v>
      </c>
      <c r="J121" s="229">
        <v>248.85</v>
      </c>
      <c r="L121" s="2" t="s">
        <v>1674</v>
      </c>
    </row>
    <row r="122" spans="1:12" ht="24.75" customHeight="1">
      <c r="A122" s="393" t="s">
        <v>2157</v>
      </c>
      <c r="B122" s="393"/>
      <c r="C122" s="393"/>
      <c r="D122" s="393"/>
      <c r="E122" s="393"/>
      <c r="F122" s="393"/>
      <c r="G122" s="14">
        <v>113</v>
      </c>
      <c r="H122" s="15"/>
      <c r="I122" s="229">
        <v>165903.51</v>
      </c>
      <c r="J122" s="229">
        <v>132722.82</v>
      </c>
      <c r="L122" s="2" t="s">
        <v>1674</v>
      </c>
    </row>
    <row r="123" spans="1:12" ht="13.5" customHeight="1">
      <c r="A123" s="393" t="s">
        <v>1492</v>
      </c>
      <c r="B123" s="393"/>
      <c r="C123" s="393"/>
      <c r="D123" s="393"/>
      <c r="E123" s="393"/>
      <c r="F123" s="393"/>
      <c r="G123" s="14">
        <v>114</v>
      </c>
      <c r="H123" s="15"/>
      <c r="I123" s="229"/>
      <c r="J123" s="229"/>
      <c r="L123" s="2" t="s">
        <v>1674</v>
      </c>
    </row>
    <row r="124" spans="1:12" ht="13.5" customHeight="1">
      <c r="A124" s="393" t="s">
        <v>1493</v>
      </c>
      <c r="B124" s="393"/>
      <c r="C124" s="393"/>
      <c r="D124" s="393"/>
      <c r="E124" s="393"/>
      <c r="F124" s="393"/>
      <c r="G124" s="14">
        <v>115</v>
      </c>
      <c r="H124" s="15"/>
      <c r="I124" s="229">
        <v>648249</v>
      </c>
      <c r="J124" s="229">
        <v>1420449.99</v>
      </c>
      <c r="L124" s="2" t="s">
        <v>1674</v>
      </c>
    </row>
    <row r="125" spans="1:12" ht="13.5" customHeight="1">
      <c r="A125" s="393" t="s">
        <v>1488</v>
      </c>
      <c r="B125" s="393"/>
      <c r="C125" s="393"/>
      <c r="D125" s="393"/>
      <c r="E125" s="393"/>
      <c r="F125" s="393"/>
      <c r="G125" s="14">
        <v>116</v>
      </c>
      <c r="H125" s="15"/>
      <c r="I125" s="229">
        <v>302508.66</v>
      </c>
      <c r="J125" s="229">
        <v>263164.36</v>
      </c>
      <c r="L125" s="2" t="s">
        <v>1674</v>
      </c>
    </row>
    <row r="126" spans="1:12" ht="13.5" customHeight="1">
      <c r="A126" s="393" t="s">
        <v>1489</v>
      </c>
      <c r="B126" s="393"/>
      <c r="C126" s="393"/>
      <c r="D126" s="393"/>
      <c r="E126" s="393"/>
      <c r="F126" s="393"/>
      <c r="G126" s="14">
        <v>117</v>
      </c>
      <c r="H126" s="15"/>
      <c r="I126" s="229">
        <f>833833.78+50.47+14.06+0.01</f>
        <v>833898.3200000001</v>
      </c>
      <c r="J126" s="229">
        <f>1138567.06+182+15.14-123755</f>
        <v>1015009.2</v>
      </c>
      <c r="L126" s="2" t="s">
        <v>1674</v>
      </c>
    </row>
    <row r="127" spans="1:12" ht="13.5" customHeight="1">
      <c r="A127" s="393" t="s">
        <v>1490</v>
      </c>
      <c r="B127" s="393"/>
      <c r="C127" s="393"/>
      <c r="D127" s="393"/>
      <c r="E127" s="393"/>
      <c r="F127" s="393"/>
      <c r="G127" s="14">
        <v>118</v>
      </c>
      <c r="H127" s="15"/>
      <c r="I127" s="229"/>
      <c r="J127" s="229"/>
      <c r="L127" s="2" t="s">
        <v>1674</v>
      </c>
    </row>
    <row r="128" spans="1:12" ht="13.5" customHeight="1">
      <c r="A128" s="393" t="s">
        <v>1494</v>
      </c>
      <c r="B128" s="393"/>
      <c r="C128" s="393"/>
      <c r="D128" s="393"/>
      <c r="E128" s="393"/>
      <c r="F128" s="393"/>
      <c r="G128" s="14">
        <v>119</v>
      </c>
      <c r="H128" s="15"/>
      <c r="I128" s="229">
        <v>40329.66</v>
      </c>
      <c r="J128" s="229">
        <v>39047.58</v>
      </c>
      <c r="L128" s="2" t="s">
        <v>1674</v>
      </c>
    </row>
    <row r="129" spans="1:12" ht="13.5" customHeight="1">
      <c r="A129" s="393" t="s">
        <v>1495</v>
      </c>
      <c r="B129" s="393"/>
      <c r="C129" s="393"/>
      <c r="D129" s="393"/>
      <c r="E129" s="393"/>
      <c r="F129" s="393"/>
      <c r="G129" s="14">
        <v>120</v>
      </c>
      <c r="H129" s="15"/>
      <c r="I129" s="229">
        <f>25203.09+3.68</f>
        <v>25206.77</v>
      </c>
      <c r="J129" s="229">
        <v>27948.37</v>
      </c>
      <c r="L129" s="2" t="s">
        <v>1674</v>
      </c>
    </row>
    <row r="130" spans="1:12" ht="13.5" customHeight="1">
      <c r="A130" s="393" t="s">
        <v>1496</v>
      </c>
      <c r="B130" s="393"/>
      <c r="C130" s="393"/>
      <c r="D130" s="393"/>
      <c r="E130" s="393"/>
      <c r="F130" s="393"/>
      <c r="G130" s="14">
        <v>121</v>
      </c>
      <c r="H130" s="15"/>
      <c r="I130" s="229">
        <v>11305.09</v>
      </c>
      <c r="J130" s="229">
        <v>13723.73</v>
      </c>
      <c r="L130" s="2" t="s">
        <v>1674</v>
      </c>
    </row>
    <row r="131" spans="1:12" ht="13.5" customHeight="1">
      <c r="A131" s="393" t="s">
        <v>2081</v>
      </c>
      <c r="B131" s="393"/>
      <c r="C131" s="393"/>
      <c r="D131" s="393"/>
      <c r="E131" s="393"/>
      <c r="F131" s="393"/>
      <c r="G131" s="14">
        <v>122</v>
      </c>
      <c r="H131" s="15"/>
      <c r="I131" s="229"/>
      <c r="J131" s="229"/>
      <c r="L131" s="2" t="s">
        <v>1674</v>
      </c>
    </row>
    <row r="132" spans="1:12" ht="13.5" customHeight="1">
      <c r="A132" s="393" t="s">
        <v>2630</v>
      </c>
      <c r="B132" s="393"/>
      <c r="C132" s="393"/>
      <c r="D132" s="393"/>
      <c r="E132" s="393"/>
      <c r="F132" s="393"/>
      <c r="G132" s="14">
        <v>123</v>
      </c>
      <c r="H132" s="15"/>
      <c r="I132" s="229">
        <v>210.1</v>
      </c>
      <c r="J132" s="229">
        <v>99.12</v>
      </c>
      <c r="L132" s="2" t="s">
        <v>1674</v>
      </c>
    </row>
    <row r="133" spans="1:12" ht="24.75" customHeight="1">
      <c r="A133" s="396" t="s">
        <v>2158</v>
      </c>
      <c r="B133" s="396"/>
      <c r="C133" s="396"/>
      <c r="D133" s="396"/>
      <c r="E133" s="396"/>
      <c r="F133" s="396"/>
      <c r="G133" s="14">
        <v>124</v>
      </c>
      <c r="H133" s="15"/>
      <c r="I133" s="229"/>
      <c r="J133" s="229">
        <v>77196.69</v>
      </c>
      <c r="L133" s="2" t="s">
        <v>1674</v>
      </c>
    </row>
    <row r="134" spans="1:12" ht="13.5" customHeight="1">
      <c r="A134" s="396" t="s">
        <v>974</v>
      </c>
      <c r="B134" s="396"/>
      <c r="C134" s="396"/>
      <c r="D134" s="396"/>
      <c r="E134" s="396"/>
      <c r="F134" s="396"/>
      <c r="G134" s="14">
        <v>125</v>
      </c>
      <c r="H134" s="15"/>
      <c r="I134" s="230">
        <f>ROUND(I76+I99+I106+I118+I133,2)</f>
        <v>43080255.93</v>
      </c>
      <c r="J134" s="230">
        <f>ROUND(J76+J99+J106+J118+J133,2)</f>
        <v>60591078.8</v>
      </c>
      <c r="L134" s="2" t="s">
        <v>1674</v>
      </c>
    </row>
    <row r="135" spans="1:12" ht="13.5" customHeight="1">
      <c r="A135" s="397" t="s">
        <v>2230</v>
      </c>
      <c r="B135" s="397"/>
      <c r="C135" s="397"/>
      <c r="D135" s="397"/>
      <c r="E135" s="397"/>
      <c r="F135" s="397"/>
      <c r="G135" s="16">
        <v>126</v>
      </c>
      <c r="H135" s="17"/>
      <c r="I135" s="231">
        <v>10673740.05</v>
      </c>
      <c r="J135" s="231">
        <v>182884.93</v>
      </c>
      <c r="L135" s="2" t="s">
        <v>1674</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20:F120"/>
    <mergeCell ref="A121:F121"/>
    <mergeCell ref="A122:F122"/>
    <mergeCell ref="A114:F114"/>
    <mergeCell ref="A115:F115"/>
    <mergeCell ref="A116:F116"/>
    <mergeCell ref="A127:F127"/>
    <mergeCell ref="A117:F117"/>
    <mergeCell ref="A118:F118"/>
    <mergeCell ref="A106:F106"/>
    <mergeCell ref="A107:F107"/>
    <mergeCell ref="A112:F112"/>
    <mergeCell ref="A111:F111"/>
    <mergeCell ref="A125:F125"/>
    <mergeCell ref="A126:F126"/>
    <mergeCell ref="A113:F113"/>
    <mergeCell ref="A79:F79"/>
    <mergeCell ref="A80:F80"/>
    <mergeCell ref="A76:F76"/>
    <mergeCell ref="A119:F119"/>
    <mergeCell ref="A109:F109"/>
    <mergeCell ref="A104:F104"/>
    <mergeCell ref="A105:F105"/>
    <mergeCell ref="A102:F102"/>
    <mergeCell ref="A103:F103"/>
    <mergeCell ref="A100:F100"/>
    <mergeCell ref="A82:F82"/>
    <mergeCell ref="A85:F85"/>
    <mergeCell ref="A81:F81"/>
    <mergeCell ref="A83:F83"/>
    <mergeCell ref="A84:F84"/>
    <mergeCell ref="A101:F101"/>
    <mergeCell ref="A88:F88"/>
    <mergeCell ref="A98:F98"/>
    <mergeCell ref="A123:F123"/>
    <mergeCell ref="A110:F110"/>
    <mergeCell ref="A16:F16"/>
    <mergeCell ref="A25:F25"/>
    <mergeCell ref="A26:F26"/>
    <mergeCell ref="A95:F95"/>
    <mergeCell ref="A97:F97"/>
    <mergeCell ref="A96:F96"/>
    <mergeCell ref="A90:F90"/>
    <mergeCell ref="A87:F87"/>
    <mergeCell ref="A13:F13"/>
    <mergeCell ref="A8:J8"/>
    <mergeCell ref="A14:F14"/>
    <mergeCell ref="A15:F15"/>
    <mergeCell ref="A9:F9"/>
    <mergeCell ref="A10:F10"/>
    <mergeCell ref="A11:F11"/>
    <mergeCell ref="A12:F12"/>
    <mergeCell ref="J2:J3"/>
    <mergeCell ref="A2:I2"/>
    <mergeCell ref="A3:I3"/>
    <mergeCell ref="A69:F69"/>
    <mergeCell ref="A6:F6"/>
    <mergeCell ref="A7:F7"/>
    <mergeCell ref="A19:F19"/>
    <mergeCell ref="A20:F20"/>
    <mergeCell ref="A27:F27"/>
    <mergeCell ref="A28:F28"/>
    <mergeCell ref="A108:F108"/>
    <mergeCell ref="A91:F91"/>
    <mergeCell ref="A99:F99"/>
    <mergeCell ref="A89:F89"/>
    <mergeCell ref="A92:F92"/>
    <mergeCell ref="A93:F93"/>
    <mergeCell ref="A94:F94"/>
    <mergeCell ref="A33:F33"/>
    <mergeCell ref="A17:F17"/>
    <mergeCell ref="A18:F18"/>
    <mergeCell ref="A42:F42"/>
    <mergeCell ref="A21:F21"/>
    <mergeCell ref="A22:F22"/>
    <mergeCell ref="A34:F34"/>
    <mergeCell ref="A35:F35"/>
    <mergeCell ref="A41:F41"/>
    <mergeCell ref="A23:F23"/>
    <mergeCell ref="A24:F24"/>
    <mergeCell ref="A29:F29"/>
    <mergeCell ref="A30:F30"/>
    <mergeCell ref="A59:F59"/>
    <mergeCell ref="A48:F48"/>
    <mergeCell ref="A31:F31"/>
    <mergeCell ref="A32:F32"/>
    <mergeCell ref="A58:F58"/>
    <mergeCell ref="A57:F57"/>
    <mergeCell ref="A46:F46"/>
    <mergeCell ref="A47:F47"/>
    <mergeCell ref="A56:F56"/>
    <mergeCell ref="A51:F51"/>
    <mergeCell ref="A52:F52"/>
    <mergeCell ref="A37:F37"/>
    <mergeCell ref="A36:F36"/>
    <mergeCell ref="A38:F38"/>
    <mergeCell ref="A44:F44"/>
    <mergeCell ref="A39:F39"/>
    <mergeCell ref="A40:F40"/>
    <mergeCell ref="A43:F43"/>
    <mergeCell ref="A86:F86"/>
    <mergeCell ref="A45:F45"/>
    <mergeCell ref="A53:F53"/>
    <mergeCell ref="A54:F54"/>
    <mergeCell ref="A55:F55"/>
    <mergeCell ref="A49:F49"/>
    <mergeCell ref="A50:F50"/>
    <mergeCell ref="A66:F66"/>
    <mergeCell ref="A74:F74"/>
    <mergeCell ref="A64:F64"/>
    <mergeCell ref="A65:F65"/>
    <mergeCell ref="A67:F67"/>
    <mergeCell ref="A60:F60"/>
    <mergeCell ref="A61:F61"/>
    <mergeCell ref="A62:F62"/>
    <mergeCell ref="A63:F63"/>
    <mergeCell ref="A77:F77"/>
    <mergeCell ref="A78:F78"/>
    <mergeCell ref="A68:F68"/>
    <mergeCell ref="A75:J75"/>
    <mergeCell ref="A72:F72"/>
    <mergeCell ref="A73:F73"/>
    <mergeCell ref="A70:F70"/>
    <mergeCell ref="A71:F71"/>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3" activePane="bottomLeft" state="frozen"/>
      <selection pane="topLeft" activeCell="A1" sqref="A1"/>
      <selection pane="bottomLeft" activeCell="J93" sqref="J93"/>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0" t="s">
        <v>937</v>
      </c>
      <c r="B2" s="422"/>
      <c r="C2" s="422"/>
      <c r="D2" s="422"/>
      <c r="E2" s="422"/>
      <c r="F2" s="422"/>
      <c r="G2" s="422"/>
      <c r="H2" s="422"/>
      <c r="I2" s="423"/>
      <c r="J2" s="398" t="s">
        <v>392</v>
      </c>
      <c r="Q2" s="64">
        <f>IF(OR(MIN(I8:I113)&lt;0,MAX(I8:I113)&gt;0),1,0)</f>
        <v>1</v>
      </c>
      <c r="R2" s="63" t="s">
        <v>386</v>
      </c>
    </row>
    <row r="3" spans="1:18" s="2" customFormat="1" ht="19.5" customHeight="1" thickBot="1">
      <c r="A3" s="403" t="str">
        <f>"za razdoblje "&amp;IF(RefStr!C4&lt;&gt;"",TEXT(RefStr!C4,"DD.MM.YYYY."),"__.__.____.")&amp;" do "&amp;IF(RefStr!F4&lt;&gt;"",TEXT(RefStr!F4,"DD.MM.YYYY."),"__.__.____.")</f>
        <v>za razdoblje 01.01.2023. do 31.12.2023.</v>
      </c>
      <c r="B3" s="424"/>
      <c r="C3" s="424"/>
      <c r="D3" s="424"/>
      <c r="E3" s="424"/>
      <c r="F3" s="424"/>
      <c r="G3" s="424"/>
      <c r="H3" s="424"/>
      <c r="I3" s="425"/>
      <c r="J3" s="399"/>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1" t="str">
        <f>"Obveznik: "&amp;IF(RefStr!C27&lt;&gt;"",RefStr!C27,"________")&amp;"; "&amp;IF(RefStr!C29&lt;&gt;"",RefStr!C29,"___________________________________________________"&amp;"; "&amp;IF(RefStr!F31&lt;&gt;"",RefStr!F31,"_______________"))</f>
        <v>Obveznik: 06374155285; MON PERIN D.D.</v>
      </c>
      <c r="B5" s="412"/>
      <c r="C5" s="412"/>
      <c r="D5" s="412"/>
      <c r="E5" s="412"/>
      <c r="F5" s="412"/>
      <c r="G5" s="412"/>
      <c r="H5" s="412"/>
      <c r="I5" s="412"/>
      <c r="J5" s="225" t="str">
        <f>IF(YEAR(RefStr!F4)&gt;2022,"Iznosi u EUR","Iznosi u kunama")</f>
        <v>Iznosi u EUR</v>
      </c>
      <c r="Q5" s="2">
        <f>IF(OR(MIN(I85:I87,I111:I113)&lt;0,MAX(I85:I87,I111:I113)&gt;0),1,0)</f>
        <v>1</v>
      </c>
      <c r="R5" s="63" t="s">
        <v>388</v>
      </c>
    </row>
    <row r="6" spans="1:18" s="2" customFormat="1" ht="24.75" customHeight="1" thickBot="1">
      <c r="A6" s="406" t="s">
        <v>2440</v>
      </c>
      <c r="B6" s="407"/>
      <c r="C6" s="407"/>
      <c r="D6" s="407"/>
      <c r="E6" s="407"/>
      <c r="F6" s="407"/>
      <c r="G6" s="78" t="s">
        <v>2459</v>
      </c>
      <c r="H6" s="78" t="s">
        <v>1936</v>
      </c>
      <c r="I6" s="83" t="s">
        <v>2900</v>
      </c>
      <c r="J6" s="224" t="s">
        <v>2901</v>
      </c>
      <c r="Q6" s="2">
        <f>IF(OR(MIN(J85:J87,J111:J113)&lt;0,MAX(J85:J87,J111:J113)&gt;0),1,0)</f>
        <v>1</v>
      </c>
      <c r="R6" s="63" t="s">
        <v>389</v>
      </c>
    </row>
    <row r="7" spans="1:18" s="2" customFormat="1" ht="13.5" customHeight="1">
      <c r="A7" s="408">
        <v>1</v>
      </c>
      <c r="B7" s="409"/>
      <c r="C7" s="409"/>
      <c r="D7" s="409"/>
      <c r="E7" s="409"/>
      <c r="F7" s="409"/>
      <c r="G7" s="85">
        <v>2</v>
      </c>
      <c r="H7" s="85">
        <v>3</v>
      </c>
      <c r="I7" s="84">
        <v>4</v>
      </c>
      <c r="J7" s="86">
        <v>5</v>
      </c>
      <c r="Q7" s="2">
        <f>IF(OR(MIN(RDG!I89:J109)&lt;0,MAX(RDG!I89:J109)&gt;0),1,0)</f>
        <v>1</v>
      </c>
      <c r="R7" s="63" t="s">
        <v>2460</v>
      </c>
    </row>
    <row r="8" spans="1:18" s="2" customFormat="1" ht="14.25" customHeight="1">
      <c r="A8" s="426" t="s">
        <v>1589</v>
      </c>
      <c r="B8" s="426"/>
      <c r="C8" s="426"/>
      <c r="D8" s="426"/>
      <c r="E8" s="426"/>
      <c r="F8" s="426"/>
      <c r="G8" s="12">
        <v>127</v>
      </c>
      <c r="H8" s="13"/>
      <c r="I8" s="232">
        <f>ROUND(SUM(I9:I13),2)</f>
        <v>9796010.67</v>
      </c>
      <c r="J8" s="232">
        <f>ROUND(SUM(J9:J13),2)</f>
        <v>14142435.24</v>
      </c>
      <c r="Q8" s="2">
        <f>IF(OR(MIN(I70:J75)&lt;&gt;0,MAX(I70:J75)&lt;&gt;0),1,0)</f>
        <v>0</v>
      </c>
      <c r="R8" s="63" t="s">
        <v>397</v>
      </c>
    </row>
    <row r="9" spans="1:10" s="2" customFormat="1" ht="14.25" customHeight="1">
      <c r="A9" s="393" t="s">
        <v>961</v>
      </c>
      <c r="B9" s="393"/>
      <c r="C9" s="393"/>
      <c r="D9" s="393"/>
      <c r="E9" s="393"/>
      <c r="F9" s="393"/>
      <c r="G9" s="14">
        <v>128</v>
      </c>
      <c r="H9" s="15"/>
      <c r="I9" s="229"/>
      <c r="J9" s="229"/>
    </row>
    <row r="10" spans="1:10" s="2" customFormat="1" ht="14.25" customHeight="1">
      <c r="A10" s="393" t="s">
        <v>147</v>
      </c>
      <c r="B10" s="393"/>
      <c r="C10" s="393"/>
      <c r="D10" s="393"/>
      <c r="E10" s="393"/>
      <c r="F10" s="393"/>
      <c r="G10" s="14">
        <v>129</v>
      </c>
      <c r="H10" s="15"/>
      <c r="I10" s="229">
        <f>9609873.35+13625.24</f>
        <v>9623498.59</v>
      </c>
      <c r="J10" s="229">
        <v>13852894.99</v>
      </c>
    </row>
    <row r="11" spans="1:10" s="2" customFormat="1" ht="14.25" customHeight="1">
      <c r="A11" s="393" t="s">
        <v>269</v>
      </c>
      <c r="B11" s="393"/>
      <c r="C11" s="393"/>
      <c r="D11" s="393"/>
      <c r="E11" s="393"/>
      <c r="F11" s="393"/>
      <c r="G11" s="14">
        <v>130</v>
      </c>
      <c r="H11" s="15"/>
      <c r="I11" s="229">
        <v>16767.1</v>
      </c>
      <c r="J11" s="229">
        <v>16770.83</v>
      </c>
    </row>
    <row r="12" spans="1:10" s="2" customFormat="1" ht="14.25" customHeight="1">
      <c r="A12" s="393" t="s">
        <v>270</v>
      </c>
      <c r="B12" s="393"/>
      <c r="C12" s="393"/>
      <c r="D12" s="393"/>
      <c r="E12" s="393"/>
      <c r="F12" s="393"/>
      <c r="G12" s="14">
        <v>131</v>
      </c>
      <c r="H12" s="15"/>
      <c r="I12" s="229"/>
      <c r="J12" s="229"/>
    </row>
    <row r="13" spans="1:10" s="2" customFormat="1" ht="14.25" customHeight="1">
      <c r="A13" s="393" t="s">
        <v>640</v>
      </c>
      <c r="B13" s="393"/>
      <c r="C13" s="393"/>
      <c r="D13" s="393"/>
      <c r="E13" s="393"/>
      <c r="F13" s="393"/>
      <c r="G13" s="14">
        <v>132</v>
      </c>
      <c r="H13" s="15"/>
      <c r="I13" s="229">
        <f>155593.38+3.13+148.47</f>
        <v>155744.98</v>
      </c>
      <c r="J13" s="229">
        <f>272586.91+182.51</f>
        <v>272769.42</v>
      </c>
    </row>
    <row r="14" spans="1:12" s="2" customFormat="1" ht="14.25" customHeight="1">
      <c r="A14" s="396" t="s">
        <v>1590</v>
      </c>
      <c r="B14" s="396"/>
      <c r="C14" s="396"/>
      <c r="D14" s="396"/>
      <c r="E14" s="396"/>
      <c r="F14" s="396"/>
      <c r="G14" s="14">
        <v>133</v>
      </c>
      <c r="H14" s="15"/>
      <c r="I14" s="230">
        <f>ROUND(I15+I16+I20+I24+I25+I26+I29+I36,2)</f>
        <v>6519091.59</v>
      </c>
      <c r="J14" s="230">
        <f>ROUND(J15+J16+J20+J24+J25+J26+J29+J36,2)</f>
        <v>9065042.81</v>
      </c>
      <c r="L14" s="2" t="s">
        <v>391</v>
      </c>
    </row>
    <row r="15" spans="1:12" s="2" customFormat="1" ht="14.25" customHeight="1">
      <c r="A15" s="393" t="s">
        <v>188</v>
      </c>
      <c r="B15" s="393"/>
      <c r="C15" s="393"/>
      <c r="D15" s="393"/>
      <c r="E15" s="393"/>
      <c r="F15" s="393"/>
      <c r="G15" s="14">
        <v>134</v>
      </c>
      <c r="H15" s="15"/>
      <c r="I15" s="229"/>
      <c r="J15" s="229"/>
      <c r="L15" s="2" t="s">
        <v>391</v>
      </c>
    </row>
    <row r="16" spans="1:10" s="2" customFormat="1" ht="14.25" customHeight="1">
      <c r="A16" s="393" t="s">
        <v>1591</v>
      </c>
      <c r="B16" s="393"/>
      <c r="C16" s="393"/>
      <c r="D16" s="393"/>
      <c r="E16" s="393"/>
      <c r="F16" s="393"/>
      <c r="G16" s="14">
        <v>135</v>
      </c>
      <c r="H16" s="15"/>
      <c r="I16" s="230">
        <f>ROUND(SUM(I17:I19),2)</f>
        <v>3266177.25</v>
      </c>
      <c r="J16" s="230">
        <f>ROUND(SUM(J17:J19),2)</f>
        <v>5410440.04</v>
      </c>
    </row>
    <row r="17" spans="1:10" s="2" customFormat="1" ht="14.25" customHeight="1">
      <c r="A17" s="420" t="s">
        <v>455</v>
      </c>
      <c r="B17" s="420"/>
      <c r="C17" s="420"/>
      <c r="D17" s="420"/>
      <c r="E17" s="420"/>
      <c r="F17" s="420"/>
      <c r="G17" s="14">
        <v>136</v>
      </c>
      <c r="H17" s="15"/>
      <c r="I17" s="229">
        <v>597230.91</v>
      </c>
      <c r="J17" s="229">
        <v>753051.48</v>
      </c>
    </row>
    <row r="18" spans="1:10" s="2" customFormat="1" ht="14.25" customHeight="1">
      <c r="A18" s="420" t="s">
        <v>456</v>
      </c>
      <c r="B18" s="420"/>
      <c r="C18" s="420"/>
      <c r="D18" s="420"/>
      <c r="E18" s="420"/>
      <c r="F18" s="420"/>
      <c r="G18" s="14">
        <v>137</v>
      </c>
      <c r="H18" s="15"/>
      <c r="I18" s="229">
        <f>4304.52+10122.58</f>
        <v>14427.1</v>
      </c>
      <c r="J18" s="229">
        <v>741580</v>
      </c>
    </row>
    <row r="19" spans="1:10" s="2" customFormat="1" ht="14.25" customHeight="1">
      <c r="A19" s="420" t="s">
        <v>2483</v>
      </c>
      <c r="B19" s="420"/>
      <c r="C19" s="420"/>
      <c r="D19" s="420"/>
      <c r="E19" s="420"/>
      <c r="F19" s="420"/>
      <c r="G19" s="14">
        <v>138</v>
      </c>
      <c r="H19" s="15"/>
      <c r="I19" s="229">
        <f>2659661.25+1922.87+132.72-11210.83-1994.59+6007.82</f>
        <v>2654519.24</v>
      </c>
      <c r="J19" s="229">
        <f>3836616.99+1922.64+132.73+77136.2</f>
        <v>3915808.5600000005</v>
      </c>
    </row>
    <row r="20" spans="1:10" s="2" customFormat="1" ht="14.25" customHeight="1">
      <c r="A20" s="393" t="s">
        <v>1592</v>
      </c>
      <c r="B20" s="393"/>
      <c r="C20" s="393"/>
      <c r="D20" s="393"/>
      <c r="E20" s="393"/>
      <c r="F20" s="393"/>
      <c r="G20" s="14">
        <v>139</v>
      </c>
      <c r="H20" s="15"/>
      <c r="I20" s="230">
        <f>ROUND(SUM(I21:I23),2)</f>
        <v>626863.14</v>
      </c>
      <c r="J20" s="230">
        <f>ROUND(SUM(J21:J23),2)</f>
        <v>801017.07</v>
      </c>
    </row>
    <row r="21" spans="1:10" s="2" customFormat="1" ht="14.25" customHeight="1">
      <c r="A21" s="420" t="s">
        <v>143</v>
      </c>
      <c r="B21" s="420"/>
      <c r="C21" s="420"/>
      <c r="D21" s="420"/>
      <c r="E21" s="420"/>
      <c r="F21" s="420"/>
      <c r="G21" s="14">
        <v>140</v>
      </c>
      <c r="H21" s="15"/>
      <c r="I21" s="229">
        <f>390950.2+63.2+853.22</f>
        <v>391866.62</v>
      </c>
      <c r="J21" s="229">
        <v>462031.82</v>
      </c>
    </row>
    <row r="22" spans="1:10" s="2" customFormat="1" ht="14.25" customHeight="1">
      <c r="A22" s="420" t="s">
        <v>1356</v>
      </c>
      <c r="B22" s="420"/>
      <c r="C22" s="420"/>
      <c r="D22" s="420"/>
      <c r="E22" s="420"/>
      <c r="F22" s="420"/>
      <c r="G22" s="14">
        <v>141</v>
      </c>
      <c r="H22" s="15"/>
      <c r="I22" s="229">
        <f>149889.18+35.8+483.28</f>
        <v>150408.25999999998</v>
      </c>
      <c r="J22" s="229">
        <v>217068.2</v>
      </c>
    </row>
    <row r="23" spans="1:10" s="2" customFormat="1" ht="14.25" customHeight="1">
      <c r="A23" s="420" t="s">
        <v>1357</v>
      </c>
      <c r="B23" s="420"/>
      <c r="C23" s="420"/>
      <c r="D23" s="420"/>
      <c r="E23" s="420"/>
      <c r="F23" s="420"/>
      <c r="G23" s="14">
        <v>142</v>
      </c>
      <c r="H23" s="15"/>
      <c r="I23" s="229">
        <f>84351.4+16.34+220.52</f>
        <v>84588.26</v>
      </c>
      <c r="J23" s="229">
        <v>121917.05</v>
      </c>
    </row>
    <row r="24" spans="1:10" s="2" customFormat="1" ht="14.25" customHeight="1">
      <c r="A24" s="393" t="s">
        <v>189</v>
      </c>
      <c r="B24" s="393"/>
      <c r="C24" s="393"/>
      <c r="D24" s="393"/>
      <c r="E24" s="393"/>
      <c r="F24" s="393"/>
      <c r="G24" s="14">
        <v>143</v>
      </c>
      <c r="H24" s="15"/>
      <c r="I24" s="229">
        <f>1917419.99+431.86+39.15</f>
        <v>1917891</v>
      </c>
      <c r="J24" s="229">
        <v>2140630.25</v>
      </c>
    </row>
    <row r="25" spans="1:10" s="2" customFormat="1" ht="14.25" customHeight="1">
      <c r="A25" s="393" t="s">
        <v>190</v>
      </c>
      <c r="B25" s="393"/>
      <c r="C25" s="393"/>
      <c r="D25" s="393"/>
      <c r="E25" s="393"/>
      <c r="F25" s="393"/>
      <c r="G25" s="14">
        <v>144</v>
      </c>
      <c r="H25" s="15"/>
      <c r="I25" s="229">
        <f>411042.2+398.32+169.83+796.79</f>
        <v>412407.14</v>
      </c>
      <c r="J25" s="229">
        <f>621981.97+393.11+177.43+51.75+8.74</f>
        <v>622613</v>
      </c>
    </row>
    <row r="26" spans="1:12" s="2" customFormat="1" ht="14.25" customHeight="1">
      <c r="A26" s="393" t="s">
        <v>1593</v>
      </c>
      <c r="B26" s="393"/>
      <c r="C26" s="393"/>
      <c r="D26" s="393"/>
      <c r="E26" s="393"/>
      <c r="F26" s="393"/>
      <c r="G26" s="14">
        <v>145</v>
      </c>
      <c r="H26" s="15"/>
      <c r="I26" s="230">
        <f>ROUND(SUM(I27:I28),2)</f>
        <v>0</v>
      </c>
      <c r="J26" s="230">
        <f>ROUND(SUM(J27:J28),2)</f>
        <v>0</v>
      </c>
      <c r="L26" s="2" t="s">
        <v>391</v>
      </c>
    </row>
    <row r="27" spans="1:12" s="2" customFormat="1" ht="14.25" customHeight="1">
      <c r="A27" s="420" t="s">
        <v>457</v>
      </c>
      <c r="B27" s="420"/>
      <c r="C27" s="420"/>
      <c r="D27" s="420"/>
      <c r="E27" s="420"/>
      <c r="F27" s="420"/>
      <c r="G27" s="14">
        <v>146</v>
      </c>
      <c r="H27" s="15"/>
      <c r="I27" s="229"/>
      <c r="J27" s="229"/>
      <c r="L27" s="2" t="s">
        <v>391</v>
      </c>
    </row>
    <row r="28" spans="1:12" s="2" customFormat="1" ht="14.25" customHeight="1">
      <c r="A28" s="420" t="s">
        <v>458</v>
      </c>
      <c r="B28" s="420"/>
      <c r="C28" s="420"/>
      <c r="D28" s="420"/>
      <c r="E28" s="420"/>
      <c r="F28" s="420"/>
      <c r="G28" s="14">
        <v>147</v>
      </c>
      <c r="H28" s="15"/>
      <c r="I28" s="229"/>
      <c r="J28" s="229"/>
      <c r="L28" s="2" t="s">
        <v>391</v>
      </c>
    </row>
    <row r="29" spans="1:12" s="2" customFormat="1" ht="14.25" customHeight="1">
      <c r="A29" s="393" t="s">
        <v>1594</v>
      </c>
      <c r="B29" s="393"/>
      <c r="C29" s="393"/>
      <c r="D29" s="393"/>
      <c r="E29" s="393"/>
      <c r="F29" s="393"/>
      <c r="G29" s="14">
        <v>148</v>
      </c>
      <c r="H29" s="15"/>
      <c r="I29" s="230">
        <f>ROUND(SUM(I30:I35),2)</f>
        <v>26729.12</v>
      </c>
      <c r="J29" s="230">
        <f>ROUND(SUM(J30:J35),2)</f>
        <v>11084.11</v>
      </c>
      <c r="L29" s="2" t="s">
        <v>391</v>
      </c>
    </row>
    <row r="30" spans="1:12" s="2" customFormat="1" ht="14.25" customHeight="1">
      <c r="A30" s="420" t="s">
        <v>459</v>
      </c>
      <c r="B30" s="420"/>
      <c r="C30" s="420"/>
      <c r="D30" s="420"/>
      <c r="E30" s="420"/>
      <c r="F30" s="420"/>
      <c r="G30" s="14">
        <v>149</v>
      </c>
      <c r="H30" s="15"/>
      <c r="I30" s="229">
        <v>26729.12</v>
      </c>
      <c r="J30" s="229">
        <v>11084.11</v>
      </c>
      <c r="L30" s="2" t="s">
        <v>391</v>
      </c>
    </row>
    <row r="31" spans="1:12" s="2" customFormat="1" ht="14.25" customHeight="1">
      <c r="A31" s="420" t="s">
        <v>460</v>
      </c>
      <c r="B31" s="420"/>
      <c r="C31" s="420"/>
      <c r="D31" s="420"/>
      <c r="E31" s="420"/>
      <c r="F31" s="420"/>
      <c r="G31" s="14">
        <v>150</v>
      </c>
      <c r="H31" s="15"/>
      <c r="I31" s="229"/>
      <c r="J31" s="229"/>
      <c r="L31" s="2" t="s">
        <v>391</v>
      </c>
    </row>
    <row r="32" spans="1:12" s="2" customFormat="1" ht="14.25" customHeight="1">
      <c r="A32" s="420" t="s">
        <v>461</v>
      </c>
      <c r="B32" s="420"/>
      <c r="C32" s="420"/>
      <c r="D32" s="420"/>
      <c r="E32" s="420"/>
      <c r="F32" s="420"/>
      <c r="G32" s="14">
        <v>151</v>
      </c>
      <c r="H32" s="15"/>
      <c r="I32" s="229"/>
      <c r="J32" s="229"/>
      <c r="L32" s="2" t="s">
        <v>391</v>
      </c>
    </row>
    <row r="33" spans="1:12" s="2" customFormat="1" ht="14.25" customHeight="1">
      <c r="A33" s="420" t="s">
        <v>462</v>
      </c>
      <c r="B33" s="420"/>
      <c r="C33" s="420"/>
      <c r="D33" s="420"/>
      <c r="E33" s="420"/>
      <c r="F33" s="420"/>
      <c r="G33" s="14">
        <v>152</v>
      </c>
      <c r="H33" s="15"/>
      <c r="I33" s="229"/>
      <c r="J33" s="229"/>
      <c r="L33" s="2" t="s">
        <v>391</v>
      </c>
    </row>
    <row r="34" spans="1:12" s="2" customFormat="1" ht="14.25" customHeight="1">
      <c r="A34" s="420" t="s">
        <v>463</v>
      </c>
      <c r="B34" s="420"/>
      <c r="C34" s="420"/>
      <c r="D34" s="420"/>
      <c r="E34" s="420"/>
      <c r="F34" s="420"/>
      <c r="G34" s="14">
        <v>153</v>
      </c>
      <c r="H34" s="15"/>
      <c r="I34" s="229"/>
      <c r="J34" s="229"/>
      <c r="L34" s="2" t="s">
        <v>391</v>
      </c>
    </row>
    <row r="35" spans="1:12" s="2" customFormat="1" ht="14.25" customHeight="1">
      <c r="A35" s="420" t="s">
        <v>464</v>
      </c>
      <c r="B35" s="420"/>
      <c r="C35" s="420"/>
      <c r="D35" s="420"/>
      <c r="E35" s="420"/>
      <c r="F35" s="420"/>
      <c r="G35" s="14">
        <v>154</v>
      </c>
      <c r="H35" s="15"/>
      <c r="I35" s="229"/>
      <c r="J35" s="229"/>
      <c r="L35" s="2" t="s">
        <v>391</v>
      </c>
    </row>
    <row r="36" spans="1:10" s="2" customFormat="1" ht="14.25" customHeight="1">
      <c r="A36" s="393" t="s">
        <v>2615</v>
      </c>
      <c r="B36" s="393"/>
      <c r="C36" s="393"/>
      <c r="D36" s="393"/>
      <c r="E36" s="393"/>
      <c r="F36" s="393"/>
      <c r="G36" s="14">
        <v>155</v>
      </c>
      <c r="H36" s="15"/>
      <c r="I36" s="229">
        <f>268681.06+148.56+194.32</f>
        <v>269023.94</v>
      </c>
      <c r="J36" s="229">
        <f>79258.33+0.01</f>
        <v>79258.34</v>
      </c>
    </row>
    <row r="37" spans="1:10" s="2" customFormat="1" ht="14.25" customHeight="1">
      <c r="A37" s="396" t="s">
        <v>1595</v>
      </c>
      <c r="B37" s="396"/>
      <c r="C37" s="396"/>
      <c r="D37" s="396"/>
      <c r="E37" s="396"/>
      <c r="F37" s="396"/>
      <c r="G37" s="14">
        <v>156</v>
      </c>
      <c r="H37" s="15"/>
      <c r="I37" s="230">
        <f>ROUND(SUM(I38:I47),2)</f>
        <v>458803.71</v>
      </c>
      <c r="J37" s="230">
        <f>ROUND(SUM(J38:J47),2)</f>
        <v>592135</v>
      </c>
    </row>
    <row r="38" spans="1:10" s="2" customFormat="1" ht="14.25" customHeight="1">
      <c r="A38" s="393" t="s">
        <v>960</v>
      </c>
      <c r="B38" s="393"/>
      <c r="C38" s="393"/>
      <c r="D38" s="393"/>
      <c r="E38" s="393"/>
      <c r="F38" s="393"/>
      <c r="G38" s="14">
        <v>157</v>
      </c>
      <c r="H38" s="15"/>
      <c r="I38" s="229"/>
      <c r="J38" s="229"/>
    </row>
    <row r="39" spans="1:10" s="2" customFormat="1" ht="24" customHeight="1">
      <c r="A39" s="393" t="s">
        <v>1884</v>
      </c>
      <c r="B39" s="393"/>
      <c r="C39" s="393"/>
      <c r="D39" s="393"/>
      <c r="E39" s="393"/>
      <c r="F39" s="393"/>
      <c r="G39" s="14">
        <v>158</v>
      </c>
      <c r="H39" s="15"/>
      <c r="I39" s="229"/>
      <c r="J39" s="229"/>
    </row>
    <row r="40" spans="1:10" s="2" customFormat="1" ht="24" customHeight="1">
      <c r="A40" s="393" t="s">
        <v>959</v>
      </c>
      <c r="B40" s="393"/>
      <c r="C40" s="393"/>
      <c r="D40" s="393"/>
      <c r="E40" s="393"/>
      <c r="F40" s="393"/>
      <c r="G40" s="14">
        <v>159</v>
      </c>
      <c r="H40" s="15"/>
      <c r="I40" s="229"/>
      <c r="J40" s="229"/>
    </row>
    <row r="41" spans="1:10" s="2" customFormat="1" ht="14.25" customHeight="1">
      <c r="A41" s="393" t="s">
        <v>653</v>
      </c>
      <c r="B41" s="393"/>
      <c r="C41" s="393"/>
      <c r="D41" s="393"/>
      <c r="E41" s="393"/>
      <c r="F41" s="393"/>
      <c r="G41" s="14">
        <v>160</v>
      </c>
      <c r="H41" s="15"/>
      <c r="I41" s="229"/>
      <c r="J41" s="229"/>
    </row>
    <row r="42" spans="1:10" s="2" customFormat="1" ht="24" customHeight="1">
      <c r="A42" s="393" t="s">
        <v>1885</v>
      </c>
      <c r="B42" s="393"/>
      <c r="C42" s="393"/>
      <c r="D42" s="393"/>
      <c r="E42" s="393"/>
      <c r="F42" s="393"/>
      <c r="G42" s="14">
        <v>161</v>
      </c>
      <c r="H42" s="15"/>
      <c r="I42" s="229"/>
      <c r="J42" s="229"/>
    </row>
    <row r="43" spans="1:10" s="2" customFormat="1" ht="14.25" customHeight="1">
      <c r="A43" s="393" t="s">
        <v>652</v>
      </c>
      <c r="B43" s="393"/>
      <c r="C43" s="393"/>
      <c r="D43" s="393"/>
      <c r="E43" s="393"/>
      <c r="F43" s="393"/>
      <c r="G43" s="14">
        <v>162</v>
      </c>
      <c r="H43" s="15"/>
      <c r="I43" s="229">
        <v>449497.46</v>
      </c>
      <c r="J43" s="229">
        <v>513075.16</v>
      </c>
    </row>
    <row r="44" spans="1:10" s="2" customFormat="1" ht="14.25" customHeight="1">
      <c r="A44" s="393" t="s">
        <v>651</v>
      </c>
      <c r="B44" s="393"/>
      <c r="C44" s="393"/>
      <c r="D44" s="393"/>
      <c r="E44" s="393"/>
      <c r="F44" s="393"/>
      <c r="G44" s="14">
        <v>163</v>
      </c>
      <c r="H44" s="15"/>
      <c r="I44" s="229">
        <f>9274.61+3.16</f>
        <v>9277.77</v>
      </c>
      <c r="J44" s="229">
        <f>42529.24+41.55+0.28+36415.7</f>
        <v>78986.76999999999</v>
      </c>
    </row>
    <row r="45" spans="1:10" s="2" customFormat="1" ht="14.25" customHeight="1">
      <c r="A45" s="393" t="s">
        <v>2485</v>
      </c>
      <c r="B45" s="393"/>
      <c r="C45" s="393"/>
      <c r="D45" s="393"/>
      <c r="E45" s="393"/>
      <c r="F45" s="393"/>
      <c r="G45" s="14">
        <v>164</v>
      </c>
      <c r="H45" s="15"/>
      <c r="I45" s="229">
        <v>28.48</v>
      </c>
      <c r="J45" s="229">
        <v>73.07</v>
      </c>
    </row>
    <row r="46" spans="1:10" s="2" customFormat="1" ht="14.25" customHeight="1">
      <c r="A46" s="393" t="s">
        <v>2484</v>
      </c>
      <c r="B46" s="393"/>
      <c r="C46" s="393"/>
      <c r="D46" s="393"/>
      <c r="E46" s="393"/>
      <c r="F46" s="393"/>
      <c r="G46" s="14">
        <v>165</v>
      </c>
      <c r="H46" s="15"/>
      <c r="I46" s="229"/>
      <c r="J46" s="229"/>
    </row>
    <row r="47" spans="1:10" s="2" customFormat="1" ht="14.25" customHeight="1">
      <c r="A47" s="393" t="s">
        <v>2480</v>
      </c>
      <c r="B47" s="393"/>
      <c r="C47" s="393"/>
      <c r="D47" s="393"/>
      <c r="E47" s="393"/>
      <c r="F47" s="393"/>
      <c r="G47" s="14">
        <v>166</v>
      </c>
      <c r="H47" s="15"/>
      <c r="I47" s="229"/>
      <c r="J47" s="229"/>
    </row>
    <row r="48" spans="1:10" s="2" customFormat="1" ht="14.25" customHeight="1">
      <c r="A48" s="396" t="s">
        <v>1596</v>
      </c>
      <c r="B48" s="396"/>
      <c r="C48" s="396"/>
      <c r="D48" s="396"/>
      <c r="E48" s="396"/>
      <c r="F48" s="396"/>
      <c r="G48" s="14">
        <v>167</v>
      </c>
      <c r="H48" s="15"/>
      <c r="I48" s="230">
        <f>ROUND(SUM(I49:I55),2)</f>
        <v>539222.67</v>
      </c>
      <c r="J48" s="230">
        <f>ROUND(SUM(J49:J55),2)</f>
        <v>474247.79</v>
      </c>
    </row>
    <row r="49" spans="1:10" s="2" customFormat="1" ht="14.25" customHeight="1">
      <c r="A49" s="393" t="s">
        <v>2481</v>
      </c>
      <c r="B49" s="393"/>
      <c r="C49" s="393"/>
      <c r="D49" s="393"/>
      <c r="E49" s="393"/>
      <c r="F49" s="393"/>
      <c r="G49" s="14">
        <v>168</v>
      </c>
      <c r="H49" s="15"/>
      <c r="I49" s="229"/>
      <c r="J49" s="229"/>
    </row>
    <row r="50" spans="1:10" s="2" customFormat="1" ht="14.25" customHeight="1">
      <c r="A50" s="419" t="s">
        <v>271</v>
      </c>
      <c r="B50" s="419"/>
      <c r="C50" s="419"/>
      <c r="D50" s="419"/>
      <c r="E50" s="419"/>
      <c r="F50" s="419"/>
      <c r="G50" s="14">
        <v>169</v>
      </c>
      <c r="H50" s="15"/>
      <c r="I50" s="229"/>
      <c r="J50" s="229"/>
    </row>
    <row r="51" spans="1:10" s="2" customFormat="1" ht="14.25" customHeight="1">
      <c r="A51" s="419" t="s">
        <v>272</v>
      </c>
      <c r="B51" s="419"/>
      <c r="C51" s="419"/>
      <c r="D51" s="419"/>
      <c r="E51" s="419"/>
      <c r="F51" s="419"/>
      <c r="G51" s="14">
        <v>170</v>
      </c>
      <c r="H51" s="15"/>
      <c r="I51" s="229">
        <v>228221.41</v>
      </c>
      <c r="J51" s="229">
        <f>474157.59+0.04</f>
        <v>474157.63</v>
      </c>
    </row>
    <row r="52" spans="1:10" s="2" customFormat="1" ht="14.25" customHeight="1">
      <c r="A52" s="419" t="s">
        <v>273</v>
      </c>
      <c r="B52" s="419"/>
      <c r="C52" s="419"/>
      <c r="D52" s="419"/>
      <c r="E52" s="419"/>
      <c r="F52" s="419"/>
      <c r="G52" s="14">
        <v>171</v>
      </c>
      <c r="H52" s="15"/>
      <c r="I52" s="229">
        <f>308668.92+2333-0.66</f>
        <v>311001.26</v>
      </c>
      <c r="J52" s="229"/>
    </row>
    <row r="53" spans="1:10" s="2" customFormat="1" ht="14.25" customHeight="1">
      <c r="A53" s="419" t="s">
        <v>274</v>
      </c>
      <c r="B53" s="419"/>
      <c r="C53" s="419"/>
      <c r="D53" s="419"/>
      <c r="E53" s="419"/>
      <c r="F53" s="419"/>
      <c r="G53" s="14">
        <v>172</v>
      </c>
      <c r="H53" s="15"/>
      <c r="I53" s="229"/>
      <c r="J53" s="229"/>
    </row>
    <row r="54" spans="1:12" s="2" customFormat="1" ht="14.25" customHeight="1">
      <c r="A54" s="419" t="s">
        <v>275</v>
      </c>
      <c r="B54" s="419"/>
      <c r="C54" s="419"/>
      <c r="D54" s="419"/>
      <c r="E54" s="419"/>
      <c r="F54" s="419"/>
      <c r="G54" s="14">
        <v>173</v>
      </c>
      <c r="H54" s="15"/>
      <c r="I54" s="229"/>
      <c r="J54" s="229"/>
      <c r="L54" s="2" t="s">
        <v>391</v>
      </c>
    </row>
    <row r="55" spans="1:10" s="2" customFormat="1" ht="14.25" customHeight="1">
      <c r="A55" s="419" t="s">
        <v>276</v>
      </c>
      <c r="B55" s="419"/>
      <c r="C55" s="419"/>
      <c r="D55" s="419"/>
      <c r="E55" s="419"/>
      <c r="F55" s="419"/>
      <c r="G55" s="14">
        <v>174</v>
      </c>
      <c r="H55" s="15"/>
      <c r="I55" s="229"/>
      <c r="J55" s="229">
        <v>90.16</v>
      </c>
    </row>
    <row r="56" spans="1:10" s="2" customFormat="1" ht="24.75" customHeight="1">
      <c r="A56" s="396" t="s">
        <v>1886</v>
      </c>
      <c r="B56" s="396"/>
      <c r="C56" s="396"/>
      <c r="D56" s="396"/>
      <c r="E56" s="396"/>
      <c r="F56" s="396"/>
      <c r="G56" s="14">
        <v>175</v>
      </c>
      <c r="H56" s="15"/>
      <c r="I56" s="229"/>
      <c r="J56" s="229"/>
    </row>
    <row r="57" spans="1:10" s="2" customFormat="1" ht="14.25" customHeight="1">
      <c r="A57" s="396" t="s">
        <v>277</v>
      </c>
      <c r="B57" s="396"/>
      <c r="C57" s="396"/>
      <c r="D57" s="396"/>
      <c r="E57" s="396"/>
      <c r="F57" s="396"/>
      <c r="G57" s="14">
        <v>176</v>
      </c>
      <c r="H57" s="15"/>
      <c r="I57" s="229"/>
      <c r="J57" s="229"/>
    </row>
    <row r="58" spans="1:10" s="2" customFormat="1" ht="24.75" customHeight="1">
      <c r="A58" s="396" t="s">
        <v>278</v>
      </c>
      <c r="B58" s="396"/>
      <c r="C58" s="396"/>
      <c r="D58" s="396"/>
      <c r="E58" s="396"/>
      <c r="F58" s="396"/>
      <c r="G58" s="14">
        <v>177</v>
      </c>
      <c r="H58" s="15"/>
      <c r="I58" s="229"/>
      <c r="J58" s="229"/>
    </row>
    <row r="59" spans="1:10" s="2" customFormat="1" ht="14.25" customHeight="1">
      <c r="A59" s="396" t="s">
        <v>279</v>
      </c>
      <c r="B59" s="396"/>
      <c r="C59" s="396"/>
      <c r="D59" s="396"/>
      <c r="E59" s="396"/>
      <c r="F59" s="396"/>
      <c r="G59" s="14">
        <v>178</v>
      </c>
      <c r="H59" s="15"/>
      <c r="I59" s="229"/>
      <c r="J59" s="229"/>
    </row>
    <row r="60" spans="1:10" s="2" customFormat="1" ht="14.25" customHeight="1">
      <c r="A60" s="396" t="s">
        <v>1597</v>
      </c>
      <c r="B60" s="396"/>
      <c r="C60" s="396"/>
      <c r="D60" s="396"/>
      <c r="E60" s="396"/>
      <c r="F60" s="396"/>
      <c r="G60" s="14">
        <v>179</v>
      </c>
      <c r="H60" s="15"/>
      <c r="I60" s="230">
        <f>ROUND(I8+I37+I56+I57,2)</f>
        <v>10254814.38</v>
      </c>
      <c r="J60" s="230">
        <f>ROUND(J8+J37+J56+J57,2)</f>
        <v>14734570.24</v>
      </c>
    </row>
    <row r="61" spans="1:10" s="2" customFormat="1" ht="14.25" customHeight="1">
      <c r="A61" s="396" t="s">
        <v>1598</v>
      </c>
      <c r="B61" s="396"/>
      <c r="C61" s="396"/>
      <c r="D61" s="396"/>
      <c r="E61" s="396"/>
      <c r="F61" s="396"/>
      <c r="G61" s="14">
        <v>180</v>
      </c>
      <c r="H61" s="15"/>
      <c r="I61" s="230">
        <f>ROUND(I14+I48+I58+I59,2)</f>
        <v>7058314.26</v>
      </c>
      <c r="J61" s="230">
        <f>ROUND(J14+J48+J58+J59,2)</f>
        <v>9539290.6</v>
      </c>
    </row>
    <row r="62" spans="1:12" s="2" customFormat="1" ht="14.25" customHeight="1">
      <c r="A62" s="396" t="s">
        <v>1599</v>
      </c>
      <c r="B62" s="396"/>
      <c r="C62" s="396"/>
      <c r="D62" s="396"/>
      <c r="E62" s="396"/>
      <c r="F62" s="396"/>
      <c r="G62" s="14">
        <v>181</v>
      </c>
      <c r="H62" s="15"/>
      <c r="I62" s="230">
        <f>ROUND(I60-I61,2)</f>
        <v>3196500.12</v>
      </c>
      <c r="J62" s="230">
        <f>ROUND(J60-J61,2)</f>
        <v>5195279.64</v>
      </c>
      <c r="L62" s="2" t="s">
        <v>391</v>
      </c>
    </row>
    <row r="63" spans="1:10" s="2" customFormat="1" ht="14.25" customHeight="1">
      <c r="A63" s="419" t="s">
        <v>1600</v>
      </c>
      <c r="B63" s="419"/>
      <c r="C63" s="419"/>
      <c r="D63" s="419"/>
      <c r="E63" s="419"/>
      <c r="F63" s="419"/>
      <c r="G63" s="14">
        <v>182</v>
      </c>
      <c r="H63" s="15"/>
      <c r="I63" s="230">
        <f>IF(I60&gt;I61,ROUND(I60-I61,2),0)</f>
        <v>3196500.12</v>
      </c>
      <c r="J63" s="230">
        <f>IF(J60&gt;J61,ROUND(J60-J61,2),0)</f>
        <v>5195279.64</v>
      </c>
    </row>
    <row r="64" spans="1:10" s="2" customFormat="1" ht="14.25" customHeight="1">
      <c r="A64" s="419" t="s">
        <v>1601</v>
      </c>
      <c r="B64" s="419"/>
      <c r="C64" s="419"/>
      <c r="D64" s="419"/>
      <c r="E64" s="419"/>
      <c r="F64" s="419"/>
      <c r="G64" s="14">
        <v>183</v>
      </c>
      <c r="H64" s="15"/>
      <c r="I64" s="230">
        <f>IF(I61&gt;I60,ROUND(I61-I60,2),0)</f>
        <v>0</v>
      </c>
      <c r="J64" s="230">
        <f>IF(J61&gt;J60,ROUND(J61-J60,2),0)</f>
        <v>0</v>
      </c>
    </row>
    <row r="65" spans="1:12" s="2" customFormat="1" ht="14.25" customHeight="1">
      <c r="A65" s="396" t="s">
        <v>420</v>
      </c>
      <c r="B65" s="396"/>
      <c r="C65" s="396"/>
      <c r="D65" s="396"/>
      <c r="E65" s="396"/>
      <c r="F65" s="396"/>
      <c r="G65" s="14">
        <v>184</v>
      </c>
      <c r="H65" s="15"/>
      <c r="I65" s="229"/>
      <c r="J65" s="229"/>
      <c r="L65" s="2" t="s">
        <v>391</v>
      </c>
    </row>
    <row r="66" spans="1:12" s="2" customFormat="1" ht="14.25" customHeight="1">
      <c r="A66" s="396" t="s">
        <v>1602</v>
      </c>
      <c r="B66" s="396"/>
      <c r="C66" s="396"/>
      <c r="D66" s="396"/>
      <c r="E66" s="396"/>
      <c r="F66" s="396"/>
      <c r="G66" s="14">
        <v>185</v>
      </c>
      <c r="H66" s="15"/>
      <c r="I66" s="230">
        <f>ROUND(I62-I65,2)</f>
        <v>3196500.12</v>
      </c>
      <c r="J66" s="230">
        <f>ROUND(J62-J65,2)</f>
        <v>5195279.64</v>
      </c>
      <c r="L66" s="2" t="s">
        <v>391</v>
      </c>
    </row>
    <row r="67" spans="1:10" s="2" customFormat="1" ht="14.25" customHeight="1">
      <c r="A67" s="419" t="s">
        <v>1603</v>
      </c>
      <c r="B67" s="419"/>
      <c r="C67" s="419"/>
      <c r="D67" s="419"/>
      <c r="E67" s="419"/>
      <c r="F67" s="419"/>
      <c r="G67" s="14">
        <v>186</v>
      </c>
      <c r="H67" s="15"/>
      <c r="I67" s="230">
        <f>IF(I66&gt;0,ROUND(I66,2),0)</f>
        <v>3196500.12</v>
      </c>
      <c r="J67" s="230">
        <f>IF(J66&gt;0,ROUND(J66,2),0)</f>
        <v>5195279.64</v>
      </c>
    </row>
    <row r="68" spans="1:10" s="2" customFormat="1" ht="14.25" customHeight="1">
      <c r="A68" s="427" t="s">
        <v>1604</v>
      </c>
      <c r="B68" s="427"/>
      <c r="C68" s="427"/>
      <c r="D68" s="427"/>
      <c r="E68" s="427"/>
      <c r="F68" s="427"/>
      <c r="G68" s="16">
        <v>187</v>
      </c>
      <c r="H68" s="17"/>
      <c r="I68" s="233">
        <f>IF(I66&lt;0,ROUND(-I66,2),0)</f>
        <v>0</v>
      </c>
      <c r="J68" s="233">
        <f>IF(J66&lt;0,ROUND(-J66,2),0)</f>
        <v>0</v>
      </c>
    </row>
    <row r="69" spans="1:10" s="2" customFormat="1" ht="14.25" customHeight="1">
      <c r="A69" s="394" t="s">
        <v>2482</v>
      </c>
      <c r="B69" s="394"/>
      <c r="C69" s="394"/>
      <c r="D69" s="394"/>
      <c r="E69" s="394"/>
      <c r="F69" s="394"/>
      <c r="G69" s="417"/>
      <c r="H69" s="417"/>
      <c r="I69" s="417"/>
      <c r="J69" s="417"/>
    </row>
    <row r="70" spans="1:12" s="2" customFormat="1" ht="25.5" customHeight="1">
      <c r="A70" s="396" t="s">
        <v>1605</v>
      </c>
      <c r="B70" s="396"/>
      <c r="C70" s="396"/>
      <c r="D70" s="396"/>
      <c r="E70" s="396"/>
      <c r="F70" s="396"/>
      <c r="G70" s="14">
        <v>188</v>
      </c>
      <c r="H70" s="15"/>
      <c r="I70" s="230">
        <f>ROUND(I71-I72,2)</f>
        <v>0</v>
      </c>
      <c r="J70" s="230">
        <f>ROUND(J71-J72,2)</f>
        <v>0</v>
      </c>
      <c r="L70" s="2" t="s">
        <v>391</v>
      </c>
    </row>
    <row r="71" spans="1:10" s="2" customFormat="1" ht="14.25" customHeight="1">
      <c r="A71" s="419" t="s">
        <v>3001</v>
      </c>
      <c r="B71" s="419"/>
      <c r="C71" s="419"/>
      <c r="D71" s="419"/>
      <c r="E71" s="419"/>
      <c r="F71" s="419"/>
      <c r="G71" s="14">
        <v>189</v>
      </c>
      <c r="H71" s="15"/>
      <c r="I71" s="229"/>
      <c r="J71" s="229"/>
    </row>
    <row r="72" spans="1:10" s="2" customFormat="1" ht="14.25" customHeight="1">
      <c r="A72" s="419" t="s">
        <v>3002</v>
      </c>
      <c r="B72" s="419"/>
      <c r="C72" s="419"/>
      <c r="D72" s="419"/>
      <c r="E72" s="419"/>
      <c r="F72" s="419"/>
      <c r="G72" s="14">
        <v>190</v>
      </c>
      <c r="H72" s="15"/>
      <c r="I72" s="229"/>
      <c r="J72" s="229"/>
    </row>
    <row r="73" spans="1:12" s="2" customFormat="1" ht="14.25" customHeight="1">
      <c r="A73" s="396" t="s">
        <v>280</v>
      </c>
      <c r="B73" s="396"/>
      <c r="C73" s="396"/>
      <c r="D73" s="396"/>
      <c r="E73" s="396"/>
      <c r="F73" s="396"/>
      <c r="G73" s="14">
        <v>191</v>
      </c>
      <c r="H73" s="15"/>
      <c r="I73" s="229"/>
      <c r="J73" s="229"/>
      <c r="L73" s="2" t="s">
        <v>391</v>
      </c>
    </row>
    <row r="74" spans="1:10" s="2" customFormat="1" ht="14.25" customHeight="1">
      <c r="A74" s="419" t="s">
        <v>1606</v>
      </c>
      <c r="B74" s="419"/>
      <c r="C74" s="419"/>
      <c r="D74" s="419"/>
      <c r="E74" s="419"/>
      <c r="F74" s="419"/>
      <c r="G74" s="14">
        <v>192</v>
      </c>
      <c r="H74" s="15"/>
      <c r="I74" s="230">
        <f>IF(I70-I73&gt;0,ROUND(I70-I73,2),0)</f>
        <v>0</v>
      </c>
      <c r="J74" s="230">
        <f>IF(J70-J73&gt;0,ROUND(J70-J73,2),0)</f>
        <v>0</v>
      </c>
    </row>
    <row r="75" spans="1:10" s="2" customFormat="1" ht="14.25" customHeight="1">
      <c r="A75" s="427" t="s">
        <v>1607</v>
      </c>
      <c r="B75" s="427"/>
      <c r="C75" s="427"/>
      <c r="D75" s="427"/>
      <c r="E75" s="427"/>
      <c r="F75" s="427"/>
      <c r="G75" s="16">
        <v>193</v>
      </c>
      <c r="H75" s="17"/>
      <c r="I75" s="233">
        <f>IF(I73-I70&gt;0,ROUND(I73-I70,2),0)</f>
        <v>0</v>
      </c>
      <c r="J75" s="233">
        <f>IF(J73-J70&gt;0,ROUND(J73-J70,2),0)</f>
        <v>0</v>
      </c>
    </row>
    <row r="76" spans="1:10" s="2" customFormat="1" ht="14.25" customHeight="1">
      <c r="A76" s="394" t="s">
        <v>281</v>
      </c>
      <c r="B76" s="394"/>
      <c r="C76" s="394"/>
      <c r="D76" s="394"/>
      <c r="E76" s="394"/>
      <c r="F76" s="394"/>
      <c r="G76" s="417"/>
      <c r="H76" s="417"/>
      <c r="I76" s="417"/>
      <c r="J76" s="417"/>
    </row>
    <row r="77" spans="1:12" s="2" customFormat="1" ht="14.25" customHeight="1">
      <c r="A77" s="396" t="s">
        <v>1608</v>
      </c>
      <c r="B77" s="396"/>
      <c r="C77" s="396"/>
      <c r="D77" s="396"/>
      <c r="E77" s="396"/>
      <c r="F77" s="396"/>
      <c r="G77" s="14">
        <v>194</v>
      </c>
      <c r="H77" s="15"/>
      <c r="I77" s="230">
        <f>ROUND((I62+I70)*$Q$8,2)</f>
        <v>0</v>
      </c>
      <c r="J77" s="230">
        <f>ROUND((J62+J70)*$Q$8,2)</f>
        <v>0</v>
      </c>
      <c r="L77" s="2" t="s">
        <v>391</v>
      </c>
    </row>
    <row r="78" spans="1:10" s="2" customFormat="1" ht="14.25" customHeight="1">
      <c r="A78" s="419" t="s">
        <v>1609</v>
      </c>
      <c r="B78" s="419"/>
      <c r="C78" s="419"/>
      <c r="D78" s="419"/>
      <c r="E78" s="419"/>
      <c r="F78" s="419"/>
      <c r="G78" s="14">
        <v>195</v>
      </c>
      <c r="H78" s="15"/>
      <c r="I78" s="230">
        <f>IF(I77&gt;0,ROUND(I77,2),0)</f>
        <v>0</v>
      </c>
      <c r="J78" s="230">
        <f>IF(J77&gt;0,ROUND(J77,2),0)</f>
        <v>0</v>
      </c>
    </row>
    <row r="79" spans="1:10" s="2" customFormat="1" ht="14.25" customHeight="1">
      <c r="A79" s="419" t="s">
        <v>1610</v>
      </c>
      <c r="B79" s="419"/>
      <c r="C79" s="419"/>
      <c r="D79" s="419"/>
      <c r="E79" s="419"/>
      <c r="F79" s="419"/>
      <c r="G79" s="14">
        <v>196</v>
      </c>
      <c r="H79" s="15"/>
      <c r="I79" s="230">
        <f>IF(I77&lt;0,ROUND(-I77,2),0)</f>
        <v>0</v>
      </c>
      <c r="J79" s="230">
        <f>IF(J77&lt;0,ROUND(-J77,2),0)</f>
        <v>0</v>
      </c>
    </row>
    <row r="80" spans="1:12" s="2" customFormat="1" ht="14.25" customHeight="1">
      <c r="A80" s="396" t="s">
        <v>1611</v>
      </c>
      <c r="B80" s="396"/>
      <c r="C80" s="396"/>
      <c r="D80" s="396"/>
      <c r="E80" s="396"/>
      <c r="F80" s="396"/>
      <c r="G80" s="14">
        <v>197</v>
      </c>
      <c r="H80" s="15"/>
      <c r="I80" s="230">
        <f>ROUND((I73+I65)*$Q$8,2)</f>
        <v>0</v>
      </c>
      <c r="J80" s="230">
        <f>ROUND((J73+J65)*$Q$8,2)</f>
        <v>0</v>
      </c>
      <c r="L80" s="2" t="s">
        <v>391</v>
      </c>
    </row>
    <row r="81" spans="1:12" s="2" customFormat="1" ht="14.25" customHeight="1">
      <c r="A81" s="396" t="s">
        <v>1612</v>
      </c>
      <c r="B81" s="396"/>
      <c r="C81" s="396"/>
      <c r="D81" s="396"/>
      <c r="E81" s="396"/>
      <c r="F81" s="396"/>
      <c r="G81" s="14">
        <v>198</v>
      </c>
      <c r="H81" s="15"/>
      <c r="I81" s="230">
        <f>ROUND(I82-I83,2)</f>
        <v>0</v>
      </c>
      <c r="J81" s="230">
        <f>ROUND(J82-J83,2)</f>
        <v>0</v>
      </c>
      <c r="L81" s="2" t="s">
        <v>391</v>
      </c>
    </row>
    <row r="82" spans="1:10" s="2" customFormat="1" ht="14.25" customHeight="1">
      <c r="A82" s="419" t="s">
        <v>1613</v>
      </c>
      <c r="B82" s="419"/>
      <c r="C82" s="419"/>
      <c r="D82" s="419"/>
      <c r="E82" s="419"/>
      <c r="F82" s="419"/>
      <c r="G82" s="14">
        <v>199</v>
      </c>
      <c r="H82" s="15"/>
      <c r="I82" s="230">
        <f>IF(I77-I80&gt;0,ROUND(I77-I80,2),0)</f>
        <v>0</v>
      </c>
      <c r="J82" s="230">
        <f>IF(J77-J80&gt;0,ROUND(J77-J80,2),0)</f>
        <v>0</v>
      </c>
    </row>
    <row r="83" spans="1:10" s="2" customFormat="1" ht="14.25" customHeight="1">
      <c r="A83" s="427" t="s">
        <v>1614</v>
      </c>
      <c r="B83" s="427"/>
      <c r="C83" s="427"/>
      <c r="D83" s="427"/>
      <c r="E83" s="427"/>
      <c r="F83" s="427"/>
      <c r="G83" s="16">
        <v>200</v>
      </c>
      <c r="H83" s="17"/>
      <c r="I83" s="233">
        <f>IF(I77-I80&lt;0,ROUND(I80-I77,2),0)</f>
        <v>0</v>
      </c>
      <c r="J83" s="233">
        <f>IF(J77-J80&lt;0,ROUND(J80-J77,2),0)</f>
        <v>0</v>
      </c>
    </row>
    <row r="84" spans="1:10" s="2" customFormat="1" ht="14.25" customHeight="1">
      <c r="A84" s="394" t="s">
        <v>733</v>
      </c>
      <c r="B84" s="394"/>
      <c r="C84" s="394"/>
      <c r="D84" s="394"/>
      <c r="E84" s="394"/>
      <c r="F84" s="394"/>
      <c r="G84" s="417"/>
      <c r="H84" s="417"/>
      <c r="I84" s="417"/>
      <c r="J84" s="417"/>
    </row>
    <row r="85" spans="1:12" s="2" customFormat="1" ht="14.25" customHeight="1">
      <c r="A85" s="416" t="s">
        <v>1615</v>
      </c>
      <c r="B85" s="416"/>
      <c r="C85" s="416"/>
      <c r="D85" s="416"/>
      <c r="E85" s="416"/>
      <c r="F85" s="416"/>
      <c r="G85" s="14">
        <v>201</v>
      </c>
      <c r="H85" s="15"/>
      <c r="I85" s="230">
        <f>ROUND(SUM(I86:I87),2)</f>
        <v>3196500.12</v>
      </c>
      <c r="J85" s="230">
        <f>ROUND(SUM(J86:J87),2)</f>
        <v>5195279.64</v>
      </c>
      <c r="L85" s="2" t="s">
        <v>391</v>
      </c>
    </row>
    <row r="86" spans="1:12" s="2" customFormat="1" ht="14.25" customHeight="1">
      <c r="A86" s="418" t="s">
        <v>3003</v>
      </c>
      <c r="B86" s="418"/>
      <c r="C86" s="418"/>
      <c r="D86" s="418"/>
      <c r="E86" s="418"/>
      <c r="F86" s="418"/>
      <c r="G86" s="14">
        <v>202</v>
      </c>
      <c r="H86" s="15"/>
      <c r="I86" s="229">
        <f>+I67</f>
        <v>3196500.12</v>
      </c>
      <c r="J86" s="229">
        <f>+J67</f>
        <v>5195279.64</v>
      </c>
      <c r="L86" s="2" t="s">
        <v>391</v>
      </c>
    </row>
    <row r="87" spans="1:12" s="2" customFormat="1" ht="14.25" customHeight="1">
      <c r="A87" s="413" t="s">
        <v>2283</v>
      </c>
      <c r="B87" s="413"/>
      <c r="C87" s="413"/>
      <c r="D87" s="413"/>
      <c r="E87" s="413"/>
      <c r="F87" s="413"/>
      <c r="G87" s="16">
        <v>203</v>
      </c>
      <c r="H87" s="17"/>
      <c r="I87" s="231"/>
      <c r="J87" s="231"/>
      <c r="L87" s="2" t="s">
        <v>391</v>
      </c>
    </row>
    <row r="88" spans="1:10" s="2" customFormat="1" ht="14.25" customHeight="1">
      <c r="A88" s="428" t="s">
        <v>2224</v>
      </c>
      <c r="B88" s="428"/>
      <c r="C88" s="428"/>
      <c r="D88" s="428"/>
      <c r="E88" s="428"/>
      <c r="F88" s="428"/>
      <c r="G88" s="429"/>
      <c r="H88" s="429"/>
      <c r="I88" s="429"/>
      <c r="J88" s="429"/>
    </row>
    <row r="89" spans="1:12" s="2" customFormat="1" ht="14.25" customHeight="1">
      <c r="A89" s="414" t="s">
        <v>1616</v>
      </c>
      <c r="B89" s="414"/>
      <c r="C89" s="414"/>
      <c r="D89" s="414"/>
      <c r="E89" s="414"/>
      <c r="F89" s="414"/>
      <c r="G89" s="14">
        <v>204</v>
      </c>
      <c r="H89" s="15"/>
      <c r="I89" s="229">
        <f>+I67</f>
        <v>3196500.12</v>
      </c>
      <c r="J89" s="229">
        <f>+J67</f>
        <v>5195279.64</v>
      </c>
      <c r="L89" s="2" t="s">
        <v>391</v>
      </c>
    </row>
    <row r="90" spans="1:12" s="2" customFormat="1" ht="25.5" customHeight="1">
      <c r="A90" s="414" t="s">
        <v>973</v>
      </c>
      <c r="B90" s="414"/>
      <c r="C90" s="414"/>
      <c r="D90" s="414"/>
      <c r="E90" s="414"/>
      <c r="F90" s="414"/>
      <c r="G90" s="14">
        <v>205</v>
      </c>
      <c r="H90" s="15"/>
      <c r="I90" s="230">
        <f>ROUND(SUM(I92:I96)+SUM(I99:I106),2)</f>
        <v>-865067.36</v>
      </c>
      <c r="J90" s="230">
        <f>ROUND(SUM(J92:J96)+SUM(J99:J106),2)</f>
        <v>4542644.16</v>
      </c>
      <c r="L90" s="2" t="s">
        <v>391</v>
      </c>
    </row>
    <row r="91" spans="1:12" s="2" customFormat="1" ht="14.25" customHeight="1">
      <c r="A91" s="414" t="s">
        <v>2736</v>
      </c>
      <c r="B91" s="414"/>
      <c r="C91" s="414"/>
      <c r="D91" s="414"/>
      <c r="E91" s="414"/>
      <c r="F91" s="414"/>
      <c r="G91" s="14">
        <v>206</v>
      </c>
      <c r="H91" s="15"/>
      <c r="I91" s="230">
        <f>ROUND(SUM(I92:I97),2)</f>
        <v>-865067.36</v>
      </c>
      <c r="J91" s="230">
        <f>ROUND(SUM(J92:J97),2)</f>
        <v>4542644.16</v>
      </c>
      <c r="L91" s="2" t="s">
        <v>391</v>
      </c>
    </row>
    <row r="92" spans="1:12" s="2" customFormat="1" ht="24.75" customHeight="1">
      <c r="A92" s="393" t="s">
        <v>1617</v>
      </c>
      <c r="B92" s="393"/>
      <c r="C92" s="393"/>
      <c r="D92" s="393"/>
      <c r="E92" s="393"/>
      <c r="F92" s="393"/>
      <c r="G92" s="14">
        <v>207</v>
      </c>
      <c r="H92" s="15"/>
      <c r="I92" s="229"/>
      <c r="J92" s="229"/>
      <c r="L92" s="2" t="s">
        <v>391</v>
      </c>
    </row>
    <row r="93" spans="1:12" s="2" customFormat="1" ht="24.75" customHeight="1">
      <c r="A93" s="393" t="s">
        <v>1618</v>
      </c>
      <c r="B93" s="393"/>
      <c r="C93" s="393"/>
      <c r="D93" s="393"/>
      <c r="E93" s="393"/>
      <c r="F93" s="393"/>
      <c r="G93" s="14">
        <v>208</v>
      </c>
      <c r="H93" s="15"/>
      <c r="I93" s="229">
        <v>-865067.36</v>
      </c>
      <c r="J93" s="229">
        <f>4984727.84-442083.68</f>
        <v>4542644.16</v>
      </c>
      <c r="L93" s="2" t="s">
        <v>391</v>
      </c>
    </row>
    <row r="94" spans="1:12" s="2" customFormat="1" ht="24.75" customHeight="1">
      <c r="A94" s="393" t="s">
        <v>2731</v>
      </c>
      <c r="B94" s="393"/>
      <c r="C94" s="393"/>
      <c r="D94" s="393"/>
      <c r="E94" s="393"/>
      <c r="F94" s="393"/>
      <c r="G94" s="14">
        <v>209</v>
      </c>
      <c r="H94" s="15"/>
      <c r="I94" s="229"/>
      <c r="J94" s="229"/>
      <c r="L94" s="2" t="s">
        <v>391</v>
      </c>
    </row>
    <row r="95" spans="1:12" s="2" customFormat="1" ht="14.25" customHeight="1">
      <c r="A95" s="393" t="s">
        <v>2732</v>
      </c>
      <c r="B95" s="393"/>
      <c r="C95" s="393"/>
      <c r="D95" s="393"/>
      <c r="E95" s="393"/>
      <c r="F95" s="393"/>
      <c r="G95" s="14">
        <v>210</v>
      </c>
      <c r="H95" s="15"/>
      <c r="I95" s="229"/>
      <c r="J95" s="229"/>
      <c r="L95" s="2" t="s">
        <v>391</v>
      </c>
    </row>
    <row r="96" spans="1:12" s="2" customFormat="1" ht="14.25" customHeight="1">
      <c r="A96" s="393" t="s">
        <v>2733</v>
      </c>
      <c r="B96" s="393"/>
      <c r="C96" s="393"/>
      <c r="D96" s="393"/>
      <c r="E96" s="393"/>
      <c r="F96" s="393"/>
      <c r="G96" s="14">
        <v>211</v>
      </c>
      <c r="H96" s="15"/>
      <c r="I96" s="229"/>
      <c r="J96" s="229"/>
      <c r="L96" s="2" t="s">
        <v>391</v>
      </c>
    </row>
    <row r="97" spans="1:12" s="2" customFormat="1" ht="14.25" customHeight="1">
      <c r="A97" s="393" t="s">
        <v>2734</v>
      </c>
      <c r="B97" s="393"/>
      <c r="C97" s="393"/>
      <c r="D97" s="393"/>
      <c r="E97" s="393"/>
      <c r="F97" s="393"/>
      <c r="G97" s="14">
        <v>212</v>
      </c>
      <c r="H97" s="15"/>
      <c r="I97" s="229"/>
      <c r="J97" s="229"/>
      <c r="L97" s="2" t="s">
        <v>391</v>
      </c>
    </row>
    <row r="98" spans="1:12" s="2" customFormat="1" ht="14.25" customHeight="1">
      <c r="A98" s="414" t="s">
        <v>2735</v>
      </c>
      <c r="B98" s="414"/>
      <c r="C98" s="414"/>
      <c r="D98" s="414"/>
      <c r="E98" s="414"/>
      <c r="F98" s="414"/>
      <c r="G98" s="14">
        <v>213</v>
      </c>
      <c r="H98" s="15"/>
      <c r="I98" s="230">
        <f>ROUND(SUM(I99:I107),2)</f>
        <v>0</v>
      </c>
      <c r="J98" s="230">
        <f>ROUND(SUM(J99:J107),2)</f>
        <v>0</v>
      </c>
      <c r="L98" s="2" t="s">
        <v>391</v>
      </c>
    </row>
    <row r="99" spans="1:12" s="2" customFormat="1" ht="14.25" customHeight="1">
      <c r="A99" s="393" t="s">
        <v>2737</v>
      </c>
      <c r="B99" s="393"/>
      <c r="C99" s="393"/>
      <c r="D99" s="393"/>
      <c r="E99" s="393"/>
      <c r="F99" s="393"/>
      <c r="G99" s="14">
        <v>214</v>
      </c>
      <c r="H99" s="15"/>
      <c r="I99" s="229"/>
      <c r="J99" s="229"/>
      <c r="L99" s="2" t="s">
        <v>391</v>
      </c>
    </row>
    <row r="100" spans="1:12" s="2" customFormat="1" ht="24.75" customHeight="1">
      <c r="A100" s="393" t="s">
        <v>962</v>
      </c>
      <c r="B100" s="393"/>
      <c r="C100" s="393"/>
      <c r="D100" s="393"/>
      <c r="E100" s="393"/>
      <c r="F100" s="393"/>
      <c r="G100" s="14">
        <v>215</v>
      </c>
      <c r="H100" s="15"/>
      <c r="I100" s="229"/>
      <c r="J100" s="229"/>
      <c r="L100" s="2" t="s">
        <v>391</v>
      </c>
    </row>
    <row r="101" spans="1:12" s="2" customFormat="1" ht="14.25" customHeight="1">
      <c r="A101" s="393" t="s">
        <v>963</v>
      </c>
      <c r="B101" s="393"/>
      <c r="C101" s="393"/>
      <c r="D101" s="393"/>
      <c r="E101" s="393"/>
      <c r="F101" s="393"/>
      <c r="G101" s="14">
        <v>216</v>
      </c>
      <c r="H101" s="15"/>
      <c r="I101" s="229"/>
      <c r="J101" s="229"/>
      <c r="L101" s="2" t="s">
        <v>391</v>
      </c>
    </row>
    <row r="102" spans="1:12" s="2" customFormat="1" ht="14.25" customHeight="1">
      <c r="A102" s="393" t="s">
        <v>964</v>
      </c>
      <c r="B102" s="393"/>
      <c r="C102" s="393"/>
      <c r="D102" s="393"/>
      <c r="E102" s="393"/>
      <c r="F102" s="393"/>
      <c r="G102" s="14">
        <v>217</v>
      </c>
      <c r="H102" s="15"/>
      <c r="I102" s="229"/>
      <c r="J102" s="229"/>
      <c r="L102" s="2" t="s">
        <v>391</v>
      </c>
    </row>
    <row r="103" spans="1:12" s="2" customFormat="1" ht="24.75" customHeight="1">
      <c r="A103" s="393" t="s">
        <v>965</v>
      </c>
      <c r="B103" s="393"/>
      <c r="C103" s="393"/>
      <c r="D103" s="393"/>
      <c r="E103" s="393"/>
      <c r="F103" s="393"/>
      <c r="G103" s="14">
        <v>218</v>
      </c>
      <c r="H103" s="15"/>
      <c r="I103" s="229"/>
      <c r="J103" s="229"/>
      <c r="L103" s="2" t="s">
        <v>391</v>
      </c>
    </row>
    <row r="104" spans="1:12" s="2" customFormat="1" ht="14.25" customHeight="1">
      <c r="A104" s="393" t="s">
        <v>966</v>
      </c>
      <c r="B104" s="393"/>
      <c r="C104" s="393"/>
      <c r="D104" s="393"/>
      <c r="E104" s="393"/>
      <c r="F104" s="393"/>
      <c r="G104" s="14">
        <v>219</v>
      </c>
      <c r="H104" s="15"/>
      <c r="I104" s="229"/>
      <c r="J104" s="229"/>
      <c r="L104" s="2" t="s">
        <v>391</v>
      </c>
    </row>
    <row r="105" spans="1:12" s="2" customFormat="1" ht="14.25" customHeight="1">
      <c r="A105" s="393" t="s">
        <v>967</v>
      </c>
      <c r="B105" s="393"/>
      <c r="C105" s="393"/>
      <c r="D105" s="393"/>
      <c r="E105" s="393"/>
      <c r="F105" s="393"/>
      <c r="G105" s="14">
        <v>220</v>
      </c>
      <c r="H105" s="15"/>
      <c r="I105" s="229"/>
      <c r="J105" s="229"/>
      <c r="L105" s="2" t="s">
        <v>391</v>
      </c>
    </row>
    <row r="106" spans="1:12" s="2" customFormat="1" ht="14.25" customHeight="1">
      <c r="A106" s="393" t="s">
        <v>968</v>
      </c>
      <c r="B106" s="393"/>
      <c r="C106" s="393"/>
      <c r="D106" s="393"/>
      <c r="E106" s="393"/>
      <c r="F106" s="393"/>
      <c r="G106" s="14">
        <v>221</v>
      </c>
      <c r="H106" s="15"/>
      <c r="I106" s="229"/>
      <c r="J106" s="229"/>
      <c r="L106" s="2" t="s">
        <v>391</v>
      </c>
    </row>
    <row r="107" spans="1:12" s="2" customFormat="1" ht="24.75" customHeight="1">
      <c r="A107" s="393" t="s">
        <v>969</v>
      </c>
      <c r="B107" s="393"/>
      <c r="C107" s="393"/>
      <c r="D107" s="393"/>
      <c r="E107" s="393"/>
      <c r="F107" s="393"/>
      <c r="G107" s="14">
        <v>222</v>
      </c>
      <c r="H107" s="15"/>
      <c r="I107" s="229"/>
      <c r="J107" s="229"/>
      <c r="L107" s="2" t="s">
        <v>391</v>
      </c>
    </row>
    <row r="108" spans="1:12" s="2" customFormat="1" ht="14.25" customHeight="1">
      <c r="A108" s="414" t="s">
        <v>970</v>
      </c>
      <c r="B108" s="414"/>
      <c r="C108" s="414"/>
      <c r="D108" s="414"/>
      <c r="E108" s="414"/>
      <c r="F108" s="414"/>
      <c r="G108" s="14">
        <v>223</v>
      </c>
      <c r="H108" s="15"/>
      <c r="I108" s="230">
        <f>ROUND(SUM(I91+I98),2)</f>
        <v>-865067.36</v>
      </c>
      <c r="J108" s="230">
        <f>ROUND(SUM(J91+J98),2)</f>
        <v>4542644.16</v>
      </c>
      <c r="L108" s="2" t="s">
        <v>391</v>
      </c>
    </row>
    <row r="109" spans="1:12" s="2" customFormat="1" ht="14.25" customHeight="1">
      <c r="A109" s="415" t="s">
        <v>972</v>
      </c>
      <c r="B109" s="415"/>
      <c r="C109" s="415"/>
      <c r="D109" s="415"/>
      <c r="E109" s="415"/>
      <c r="F109" s="415"/>
      <c r="G109" s="16">
        <v>224</v>
      </c>
      <c r="H109" s="17"/>
      <c r="I109" s="233">
        <f>ROUND(SUM(I89+I108),2)</f>
        <v>2331432.76</v>
      </c>
      <c r="J109" s="233">
        <f>ROUND(SUM(J89+J108),2)</f>
        <v>9737923.8</v>
      </c>
      <c r="L109" s="2" t="s">
        <v>391</v>
      </c>
    </row>
    <row r="110" spans="1:10" s="2" customFormat="1" ht="14.25" customHeight="1">
      <c r="A110" s="394" t="s">
        <v>1887</v>
      </c>
      <c r="B110" s="394"/>
      <c r="C110" s="394"/>
      <c r="D110" s="394"/>
      <c r="E110" s="394"/>
      <c r="F110" s="394"/>
      <c r="G110" s="417"/>
      <c r="H110" s="417"/>
      <c r="I110" s="417"/>
      <c r="J110" s="417"/>
    </row>
    <row r="111" spans="1:12" s="2" customFormat="1" ht="14.25" customHeight="1">
      <c r="A111" s="416" t="s">
        <v>971</v>
      </c>
      <c r="B111" s="416"/>
      <c r="C111" s="416"/>
      <c r="D111" s="416"/>
      <c r="E111" s="416"/>
      <c r="F111" s="416"/>
      <c r="G111" s="14">
        <v>225</v>
      </c>
      <c r="H111" s="15"/>
      <c r="I111" s="230">
        <f>ROUND(SUM(I112:I113),2)</f>
        <v>2331432.76</v>
      </c>
      <c r="J111" s="230">
        <f>ROUND(SUM(J112:J113),2)</f>
        <v>9737923.8</v>
      </c>
      <c r="L111" s="2" t="s">
        <v>391</v>
      </c>
    </row>
    <row r="112" spans="1:12" s="2" customFormat="1" ht="14.25" customHeight="1">
      <c r="A112" s="418" t="s">
        <v>421</v>
      </c>
      <c r="B112" s="418"/>
      <c r="C112" s="418"/>
      <c r="D112" s="418"/>
      <c r="E112" s="418"/>
      <c r="F112" s="418"/>
      <c r="G112" s="14">
        <v>226</v>
      </c>
      <c r="H112" s="15"/>
      <c r="I112" s="229">
        <v>2331432.76</v>
      </c>
      <c r="J112" s="229">
        <f>+J109</f>
        <v>9737923.8</v>
      </c>
      <c r="L112" s="2" t="s">
        <v>391</v>
      </c>
    </row>
    <row r="113" spans="1:12" s="2" customFormat="1" ht="14.25" customHeight="1">
      <c r="A113" s="413" t="s">
        <v>282</v>
      </c>
      <c r="B113" s="413"/>
      <c r="C113" s="413"/>
      <c r="D113" s="413"/>
      <c r="E113" s="413"/>
      <c r="F113" s="413"/>
      <c r="G113" s="16">
        <v>227</v>
      </c>
      <c r="H113" s="17"/>
      <c r="I113" s="231"/>
      <c r="J113" s="231"/>
      <c r="L113" s="2" t="s">
        <v>391</v>
      </c>
    </row>
    <row r="114" ht="4.5" customHeight="1"/>
  </sheetData>
  <sheetProtection password="C79A" sheet="1" objects="1" scenarios="1"/>
  <mergeCells count="112">
    <mergeCell ref="A101:F101"/>
    <mergeCell ref="A93:F93"/>
    <mergeCell ref="A97:F97"/>
    <mergeCell ref="A98:F98"/>
    <mergeCell ref="A96:F96"/>
    <mergeCell ref="A86:F86"/>
    <mergeCell ref="A90:F90"/>
    <mergeCell ref="A91:F91"/>
    <mergeCell ref="A89:F89"/>
    <mergeCell ref="A88:J88"/>
    <mergeCell ref="A76:J76"/>
    <mergeCell ref="A100:F100"/>
    <mergeCell ref="A74:F74"/>
    <mergeCell ref="A75:F75"/>
    <mergeCell ref="A94:F94"/>
    <mergeCell ref="A77:F77"/>
    <mergeCell ref="A78:F78"/>
    <mergeCell ref="A79:F79"/>
    <mergeCell ref="A85:F85"/>
    <mergeCell ref="A84:J84"/>
    <mergeCell ref="A92:F92"/>
    <mergeCell ref="A106:F106"/>
    <mergeCell ref="A80:F80"/>
    <mergeCell ref="A82:F82"/>
    <mergeCell ref="A83:F83"/>
    <mergeCell ref="A81:F81"/>
    <mergeCell ref="A87:F87"/>
    <mergeCell ref="A104:F104"/>
    <mergeCell ref="A105:F105"/>
    <mergeCell ref="A99:F99"/>
    <mergeCell ref="A95:F95"/>
    <mergeCell ref="A15:F15"/>
    <mergeCell ref="A64:F64"/>
    <mergeCell ref="A62:F62"/>
    <mergeCell ref="A73:F73"/>
    <mergeCell ref="A69:J69"/>
    <mergeCell ref="A72:F72"/>
    <mergeCell ref="A68:F68"/>
    <mergeCell ref="A67:F67"/>
    <mergeCell ref="A65:F65"/>
    <mergeCell ref="A66:F66"/>
    <mergeCell ref="A16:F16"/>
    <mergeCell ref="A8:F8"/>
    <mergeCell ref="A35:F35"/>
    <mergeCell ref="A30:F30"/>
    <mergeCell ref="A31:F31"/>
    <mergeCell ref="A11:F11"/>
    <mergeCell ref="A23:F23"/>
    <mergeCell ref="A12:F12"/>
    <mergeCell ref="A10:F10"/>
    <mergeCell ref="A14:F14"/>
    <mergeCell ref="J2:J3"/>
    <mergeCell ref="A5:I5"/>
    <mergeCell ref="A13:F13"/>
    <mergeCell ref="A9:F9"/>
    <mergeCell ref="A6:F6"/>
    <mergeCell ref="A2:I2"/>
    <mergeCell ref="A3:I3"/>
    <mergeCell ref="A7:F7"/>
    <mergeCell ref="A22:F22"/>
    <mergeCell ref="A18:F18"/>
    <mergeCell ref="A19:F19"/>
    <mergeCell ref="A26:F26"/>
    <mergeCell ref="A17:F17"/>
    <mergeCell ref="A21:F21"/>
    <mergeCell ref="A24:F24"/>
    <mergeCell ref="A20:F20"/>
    <mergeCell ref="A29:F29"/>
    <mergeCell ref="A36:F36"/>
    <mergeCell ref="A34:F34"/>
    <mergeCell ref="A25:F25"/>
    <mergeCell ref="A28:F28"/>
    <mergeCell ref="A27:F27"/>
    <mergeCell ref="A41:F41"/>
    <mergeCell ref="A44:F44"/>
    <mergeCell ref="A50:F50"/>
    <mergeCell ref="A51:F51"/>
    <mergeCell ref="A43:F43"/>
    <mergeCell ref="A45:F45"/>
    <mergeCell ref="A42:F42"/>
    <mergeCell ref="A39:F39"/>
    <mergeCell ref="A40:F40"/>
    <mergeCell ref="A32:F32"/>
    <mergeCell ref="A33:F33"/>
    <mergeCell ref="A38:F38"/>
    <mergeCell ref="A37:F37"/>
    <mergeCell ref="A55:F55"/>
    <mergeCell ref="A56:F56"/>
    <mergeCell ref="A48:F48"/>
    <mergeCell ref="A46:F46"/>
    <mergeCell ref="A47:F47"/>
    <mergeCell ref="A49:F49"/>
    <mergeCell ref="A54:F54"/>
    <mergeCell ref="A52:F52"/>
    <mergeCell ref="A53:F53"/>
    <mergeCell ref="A102:F102"/>
    <mergeCell ref="A103:F103"/>
    <mergeCell ref="A63:F63"/>
    <mergeCell ref="A57:F57"/>
    <mergeCell ref="A58:F58"/>
    <mergeCell ref="A59:F59"/>
    <mergeCell ref="A60:F60"/>
    <mergeCell ref="A61:F61"/>
    <mergeCell ref="A70:F70"/>
    <mergeCell ref="A71:F71"/>
    <mergeCell ref="A113:F113"/>
    <mergeCell ref="A107:F107"/>
    <mergeCell ref="A108:F108"/>
    <mergeCell ref="A109:F109"/>
    <mergeCell ref="A111:F111"/>
    <mergeCell ref="A110:J110"/>
    <mergeCell ref="A112:F112"/>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4" activePane="bottomLeft" state="frozen"/>
      <selection pane="topLeft" activeCell="A1" sqref="A1"/>
      <selection pane="bottomLeft" activeCell="A86" sqref="A86:G86"/>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0</v>
      </c>
      <c r="R1" s="63" t="s">
        <v>1705</v>
      </c>
    </row>
    <row r="2" spans="1:18" s="2" customFormat="1" ht="19.5" customHeight="1">
      <c r="A2" s="445" t="s">
        <v>1734</v>
      </c>
      <c r="B2" s="446"/>
      <c r="C2" s="446"/>
      <c r="D2" s="446"/>
      <c r="E2" s="446"/>
      <c r="F2" s="446"/>
      <c r="G2" s="446"/>
      <c r="H2" s="446"/>
      <c r="I2" s="447"/>
      <c r="J2" s="398" t="s">
        <v>393</v>
      </c>
      <c r="Q2" s="64">
        <f>IF(MAX(I9:I88)&gt;0,1,0)</f>
        <v>0</v>
      </c>
      <c r="R2" s="63" t="s">
        <v>386</v>
      </c>
    </row>
    <row r="3" spans="1:18" s="2" customFormat="1" ht="19.5" customHeight="1" thickBot="1">
      <c r="A3" s="448" t="str">
        <f>"za razdoblje "&amp;IF(RefStr!C4&lt;&gt;"",TEXT(RefStr!C4,"DD.MM.YYYY."),"__.__.____.")&amp;" do "&amp;IF(RefStr!F4&lt;&gt;"",TEXT(RefStr!F4,"DD.MM.YYYY."),"__.__.____.")</f>
        <v>za razdoblje 01.01.2023. do 31.12.2023.</v>
      </c>
      <c r="B3" s="449"/>
      <c r="C3" s="449"/>
      <c r="D3" s="449"/>
      <c r="E3" s="449"/>
      <c r="F3" s="449"/>
      <c r="G3" s="449"/>
      <c r="H3" s="449"/>
      <c r="I3" s="450"/>
      <c r="J3" s="451"/>
      <c r="Q3" s="64">
        <f>IF(MAX(J9:J88)&gt;0,1,0)</f>
        <v>0</v>
      </c>
      <c r="R3" s="63" t="s">
        <v>387</v>
      </c>
    </row>
    <row r="4" spans="1:10" s="2" customFormat="1" ht="4.5" customHeight="1">
      <c r="A4" s="96"/>
      <c r="B4" s="73"/>
      <c r="C4" s="73"/>
      <c r="D4" s="73"/>
      <c r="E4" s="73"/>
      <c r="F4" s="73"/>
      <c r="G4" s="73"/>
      <c r="H4" s="73"/>
      <c r="I4" s="74"/>
      <c r="J4" s="75"/>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42" t="s">
        <v>2440</v>
      </c>
      <c r="B6" s="443"/>
      <c r="C6" s="443"/>
      <c r="D6" s="443"/>
      <c r="E6" s="443"/>
      <c r="F6" s="443"/>
      <c r="G6" s="444"/>
      <c r="H6" s="87" t="s">
        <v>2459</v>
      </c>
      <c r="I6" s="87" t="s">
        <v>2900</v>
      </c>
      <c r="J6" s="88" t="s">
        <v>2901</v>
      </c>
    </row>
    <row r="7" spans="1:10" s="2" customFormat="1" ht="12">
      <c r="A7" s="452">
        <v>1</v>
      </c>
      <c r="B7" s="453"/>
      <c r="C7" s="453"/>
      <c r="D7" s="453"/>
      <c r="E7" s="453"/>
      <c r="F7" s="453"/>
      <c r="G7" s="454"/>
      <c r="H7" s="91">
        <v>2</v>
      </c>
      <c r="I7" s="90">
        <v>3</v>
      </c>
      <c r="J7" s="92">
        <v>4</v>
      </c>
    </row>
    <row r="8" spans="1:10" s="2" customFormat="1" ht="13.5" customHeight="1">
      <c r="A8" s="432" t="s">
        <v>193</v>
      </c>
      <c r="B8" s="433"/>
      <c r="C8" s="433"/>
      <c r="D8" s="433"/>
      <c r="E8" s="433"/>
      <c r="F8" s="433"/>
      <c r="G8" s="433"/>
      <c r="H8" s="433"/>
      <c r="I8" s="433"/>
      <c r="J8" s="434"/>
    </row>
    <row r="9" spans="1:10" s="2" customFormat="1" ht="13.5" customHeight="1">
      <c r="A9" s="438" t="s">
        <v>192</v>
      </c>
      <c r="B9" s="438"/>
      <c r="C9" s="438"/>
      <c r="D9" s="438"/>
      <c r="E9" s="438"/>
      <c r="F9" s="438"/>
      <c r="G9" s="439"/>
      <c r="H9" s="76">
        <v>228</v>
      </c>
      <c r="I9" s="234"/>
      <c r="J9" s="234"/>
    </row>
    <row r="10" spans="1:10" s="2" customFormat="1" ht="13.5" customHeight="1">
      <c r="A10" s="419" t="s">
        <v>191</v>
      </c>
      <c r="B10" s="419"/>
      <c r="C10" s="419"/>
      <c r="D10" s="419"/>
      <c r="E10" s="419"/>
      <c r="F10" s="419"/>
      <c r="G10" s="419"/>
      <c r="H10" s="14">
        <v>229</v>
      </c>
      <c r="I10" s="229"/>
      <c r="J10" s="229"/>
    </row>
    <row r="11" spans="1:10" s="2" customFormat="1" ht="13.5" customHeight="1">
      <c r="A11" s="419" t="s">
        <v>2171</v>
      </c>
      <c r="B11" s="419"/>
      <c r="C11" s="419"/>
      <c r="D11" s="419"/>
      <c r="E11" s="419"/>
      <c r="F11" s="419"/>
      <c r="G11" s="419"/>
      <c r="H11" s="14">
        <v>230</v>
      </c>
      <c r="I11" s="229"/>
      <c r="J11" s="229"/>
    </row>
    <row r="12" spans="1:10" s="2" customFormat="1" ht="13.5" customHeight="1">
      <c r="A12" s="419" t="s">
        <v>2170</v>
      </c>
      <c r="B12" s="419"/>
      <c r="C12" s="419"/>
      <c r="D12" s="419"/>
      <c r="E12" s="419"/>
      <c r="F12" s="419"/>
      <c r="G12" s="419"/>
      <c r="H12" s="14">
        <v>231</v>
      </c>
      <c r="I12" s="229"/>
      <c r="J12" s="229"/>
    </row>
    <row r="13" spans="1:10" s="2" customFormat="1" ht="13.5" customHeight="1">
      <c r="A13" s="419" t="s">
        <v>2169</v>
      </c>
      <c r="B13" s="419"/>
      <c r="C13" s="419"/>
      <c r="D13" s="419"/>
      <c r="E13" s="419"/>
      <c r="F13" s="419"/>
      <c r="G13" s="419"/>
      <c r="H13" s="14">
        <v>232</v>
      </c>
      <c r="I13" s="229"/>
      <c r="J13" s="229"/>
    </row>
    <row r="14" spans="1:10" s="2" customFormat="1" ht="13.5" customHeight="1">
      <c r="A14" s="419" t="s">
        <v>2168</v>
      </c>
      <c r="B14" s="419"/>
      <c r="C14" s="419"/>
      <c r="D14" s="419"/>
      <c r="E14" s="419"/>
      <c r="F14" s="419"/>
      <c r="G14" s="419"/>
      <c r="H14" s="14">
        <v>233</v>
      </c>
      <c r="I14" s="229"/>
      <c r="J14" s="229"/>
    </row>
    <row r="15" spans="1:10" s="2" customFormat="1" ht="13.5" customHeight="1">
      <c r="A15" s="427" t="s">
        <v>2167</v>
      </c>
      <c r="B15" s="427"/>
      <c r="C15" s="427"/>
      <c r="D15" s="427"/>
      <c r="E15" s="427"/>
      <c r="F15" s="427"/>
      <c r="G15" s="427"/>
      <c r="H15" s="16">
        <v>234</v>
      </c>
      <c r="I15" s="231"/>
      <c r="J15" s="231"/>
    </row>
    <row r="16" spans="1:10" s="2" customFormat="1" ht="13.5" customHeight="1">
      <c r="A16" s="432" t="s">
        <v>194</v>
      </c>
      <c r="B16" s="433"/>
      <c r="C16" s="433"/>
      <c r="D16" s="433"/>
      <c r="E16" s="433"/>
      <c r="F16" s="433"/>
      <c r="G16" s="433"/>
      <c r="H16" s="433"/>
      <c r="I16" s="433"/>
      <c r="J16" s="434"/>
    </row>
    <row r="17" spans="1:10" s="2" customFormat="1" ht="13.5" customHeight="1">
      <c r="A17" s="438" t="s">
        <v>2165</v>
      </c>
      <c r="B17" s="438"/>
      <c r="C17" s="438"/>
      <c r="D17" s="438"/>
      <c r="E17" s="438"/>
      <c r="F17" s="438"/>
      <c r="G17" s="439"/>
      <c r="H17" s="76">
        <v>235</v>
      </c>
      <c r="I17" s="234"/>
      <c r="J17" s="234"/>
    </row>
    <row r="18" spans="1:10" s="2" customFormat="1" ht="13.5" customHeight="1">
      <c r="A18" s="419" t="s">
        <v>2166</v>
      </c>
      <c r="B18" s="419"/>
      <c r="C18" s="419"/>
      <c r="D18" s="419"/>
      <c r="E18" s="419"/>
      <c r="F18" s="419"/>
      <c r="G18" s="430"/>
      <c r="H18" s="14">
        <v>236</v>
      </c>
      <c r="I18" s="229"/>
      <c r="J18" s="229"/>
    </row>
    <row r="19" spans="1:10" s="2" customFormat="1" ht="13.5" customHeight="1">
      <c r="A19" s="419" t="s">
        <v>2162</v>
      </c>
      <c r="B19" s="419"/>
      <c r="C19" s="419"/>
      <c r="D19" s="419"/>
      <c r="E19" s="419"/>
      <c r="F19" s="419"/>
      <c r="G19" s="430"/>
      <c r="H19" s="14">
        <v>237</v>
      </c>
      <c r="I19" s="229"/>
      <c r="J19" s="229"/>
    </row>
    <row r="20" spans="1:10" s="2" customFormat="1" ht="13.5" customHeight="1">
      <c r="A20" s="419" t="s">
        <v>2163</v>
      </c>
      <c r="B20" s="419"/>
      <c r="C20" s="419"/>
      <c r="D20" s="419"/>
      <c r="E20" s="419"/>
      <c r="F20" s="419"/>
      <c r="G20" s="430"/>
      <c r="H20" s="14">
        <v>238</v>
      </c>
      <c r="I20" s="229"/>
      <c r="J20" s="229"/>
    </row>
    <row r="21" spans="1:10" s="2" customFormat="1" ht="13.5" customHeight="1">
      <c r="A21" s="427" t="s">
        <v>2164</v>
      </c>
      <c r="B21" s="427"/>
      <c r="C21" s="427"/>
      <c r="D21" s="427"/>
      <c r="E21" s="427"/>
      <c r="F21" s="427"/>
      <c r="G21" s="437"/>
      <c r="H21" s="16">
        <v>239</v>
      </c>
      <c r="I21" s="231"/>
      <c r="J21" s="231"/>
    </row>
    <row r="22" spans="1:10" s="2" customFormat="1" ht="13.5" customHeight="1">
      <c r="A22" s="432" t="s">
        <v>195</v>
      </c>
      <c r="B22" s="433"/>
      <c r="C22" s="433"/>
      <c r="D22" s="433"/>
      <c r="E22" s="433"/>
      <c r="F22" s="433"/>
      <c r="G22" s="433"/>
      <c r="H22" s="433"/>
      <c r="I22" s="433"/>
      <c r="J22" s="434"/>
    </row>
    <row r="23" spans="1:10" s="2" customFormat="1" ht="13.5" customHeight="1">
      <c r="A23" s="435" t="s">
        <v>779</v>
      </c>
      <c r="B23" s="435"/>
      <c r="C23" s="435"/>
      <c r="D23" s="435"/>
      <c r="E23" s="435"/>
      <c r="F23" s="435"/>
      <c r="G23" s="436"/>
      <c r="H23" s="77">
        <v>240</v>
      </c>
      <c r="I23" s="236"/>
      <c r="J23" s="236"/>
    </row>
    <row r="24" spans="1:10" s="2" customFormat="1" ht="13.5" customHeight="1">
      <c r="A24" s="432" t="s">
        <v>196</v>
      </c>
      <c r="B24" s="433"/>
      <c r="C24" s="433"/>
      <c r="D24" s="433"/>
      <c r="E24" s="433"/>
      <c r="F24" s="433"/>
      <c r="G24" s="433"/>
      <c r="H24" s="433"/>
      <c r="I24" s="433"/>
      <c r="J24" s="434"/>
    </row>
    <row r="25" spans="1:10" s="2" customFormat="1" ht="13.5" customHeight="1">
      <c r="A25" s="438" t="s">
        <v>780</v>
      </c>
      <c r="B25" s="438"/>
      <c r="C25" s="438"/>
      <c r="D25" s="438"/>
      <c r="E25" s="438"/>
      <c r="F25" s="438"/>
      <c r="G25" s="439"/>
      <c r="H25" s="76">
        <v>241</v>
      </c>
      <c r="I25" s="234"/>
      <c r="J25" s="234"/>
    </row>
    <row r="26" spans="1:10" s="2" customFormat="1" ht="24.75" customHeight="1">
      <c r="A26" s="419" t="s">
        <v>1635</v>
      </c>
      <c r="B26" s="419"/>
      <c r="C26" s="419"/>
      <c r="D26" s="419"/>
      <c r="E26" s="419"/>
      <c r="F26" s="419"/>
      <c r="G26" s="430"/>
      <c r="H26" s="14">
        <v>242</v>
      </c>
      <c r="I26" s="229"/>
      <c r="J26" s="229"/>
    </row>
    <row r="27" spans="1:10" s="2" customFormat="1" ht="13.5" customHeight="1">
      <c r="A27" s="419" t="s">
        <v>197</v>
      </c>
      <c r="B27" s="419"/>
      <c r="C27" s="419"/>
      <c r="D27" s="419"/>
      <c r="E27" s="419"/>
      <c r="F27" s="419"/>
      <c r="G27" s="430"/>
      <c r="H27" s="14">
        <v>243</v>
      </c>
      <c r="I27" s="229"/>
      <c r="J27" s="229"/>
    </row>
    <row r="28" spans="1:10" s="2" customFormat="1" ht="13.5" customHeight="1">
      <c r="A28" s="419" t="s">
        <v>198</v>
      </c>
      <c r="B28" s="419"/>
      <c r="C28" s="419"/>
      <c r="D28" s="419"/>
      <c r="E28" s="419"/>
      <c r="F28" s="419"/>
      <c r="G28" s="430"/>
      <c r="H28" s="14">
        <v>244</v>
      </c>
      <c r="I28" s="229"/>
      <c r="J28" s="229"/>
    </row>
    <row r="29" spans="1:10" s="2" customFormat="1" ht="13.5" customHeight="1">
      <c r="A29" s="419" t="s">
        <v>199</v>
      </c>
      <c r="B29" s="419"/>
      <c r="C29" s="419"/>
      <c r="D29" s="419"/>
      <c r="E29" s="419"/>
      <c r="F29" s="419"/>
      <c r="G29" s="430"/>
      <c r="H29" s="14">
        <v>245</v>
      </c>
      <c r="I29" s="229"/>
      <c r="J29" s="229"/>
    </row>
    <row r="30" spans="1:10" s="2" customFormat="1" ht="13.5" customHeight="1">
      <c r="A30" s="419" t="s">
        <v>200</v>
      </c>
      <c r="B30" s="419"/>
      <c r="C30" s="419"/>
      <c r="D30" s="419"/>
      <c r="E30" s="419"/>
      <c r="F30" s="419"/>
      <c r="G30" s="430"/>
      <c r="H30" s="14">
        <v>246</v>
      </c>
      <c r="I30" s="229"/>
      <c r="J30" s="229"/>
    </row>
    <row r="31" spans="1:10" s="2" customFormat="1" ht="13.5" customHeight="1">
      <c r="A31" s="419" t="s">
        <v>201</v>
      </c>
      <c r="B31" s="419"/>
      <c r="C31" s="419"/>
      <c r="D31" s="419"/>
      <c r="E31" s="419"/>
      <c r="F31" s="419"/>
      <c r="G31" s="430"/>
      <c r="H31" s="14">
        <v>247</v>
      </c>
      <c r="I31" s="229"/>
      <c r="J31" s="229"/>
    </row>
    <row r="32" spans="1:10" s="2" customFormat="1" ht="13.5" customHeight="1">
      <c r="A32" s="419" t="s">
        <v>202</v>
      </c>
      <c r="B32" s="419"/>
      <c r="C32" s="419"/>
      <c r="D32" s="419"/>
      <c r="E32" s="419"/>
      <c r="F32" s="419"/>
      <c r="G32" s="430"/>
      <c r="H32" s="14">
        <v>248</v>
      </c>
      <c r="I32" s="229"/>
      <c r="J32" s="229"/>
    </row>
    <row r="33" spans="1:10" s="2" customFormat="1" ht="24.75" customHeight="1">
      <c r="A33" s="419" t="s">
        <v>1636</v>
      </c>
      <c r="B33" s="419"/>
      <c r="C33" s="419"/>
      <c r="D33" s="419"/>
      <c r="E33" s="419"/>
      <c r="F33" s="419"/>
      <c r="G33" s="430"/>
      <c r="H33" s="14">
        <v>249</v>
      </c>
      <c r="I33" s="229"/>
      <c r="J33" s="229"/>
    </row>
    <row r="34" spans="1:10" s="2" customFormat="1" ht="36" customHeight="1">
      <c r="A34" s="419" t="s">
        <v>1637</v>
      </c>
      <c r="B34" s="419"/>
      <c r="C34" s="419"/>
      <c r="D34" s="419"/>
      <c r="E34" s="419"/>
      <c r="F34" s="419"/>
      <c r="G34" s="430"/>
      <c r="H34" s="14">
        <v>250</v>
      </c>
      <c r="I34" s="229"/>
      <c r="J34" s="229"/>
    </row>
    <row r="35" spans="1:10" s="2" customFormat="1" ht="36" customHeight="1">
      <c r="A35" s="427" t="s">
        <v>203</v>
      </c>
      <c r="B35" s="427"/>
      <c r="C35" s="427"/>
      <c r="D35" s="427"/>
      <c r="E35" s="427"/>
      <c r="F35" s="427"/>
      <c r="G35" s="437"/>
      <c r="H35" s="16">
        <v>251</v>
      </c>
      <c r="I35" s="231"/>
      <c r="J35" s="231"/>
    </row>
    <row r="36" spans="1:10" s="2" customFormat="1" ht="13.5" customHeight="1">
      <c r="A36" s="432" t="s">
        <v>204</v>
      </c>
      <c r="B36" s="433"/>
      <c r="C36" s="433"/>
      <c r="D36" s="433"/>
      <c r="E36" s="433"/>
      <c r="F36" s="433"/>
      <c r="G36" s="433"/>
      <c r="H36" s="433"/>
      <c r="I36" s="433"/>
      <c r="J36" s="434"/>
    </row>
    <row r="37" spans="1:10" s="2" customFormat="1" ht="13.5" customHeight="1">
      <c r="A37" s="438" t="s">
        <v>1260</v>
      </c>
      <c r="B37" s="438"/>
      <c r="C37" s="438"/>
      <c r="D37" s="438"/>
      <c r="E37" s="438"/>
      <c r="F37" s="438"/>
      <c r="G37" s="439"/>
      <c r="H37" s="76">
        <v>252</v>
      </c>
      <c r="I37" s="234"/>
      <c r="J37" s="234"/>
    </row>
    <row r="38" spans="1:10" s="2" customFormat="1" ht="13.5" customHeight="1">
      <c r="A38" s="427" t="s">
        <v>1883</v>
      </c>
      <c r="B38" s="427"/>
      <c r="C38" s="427"/>
      <c r="D38" s="427"/>
      <c r="E38" s="427"/>
      <c r="F38" s="427"/>
      <c r="G38" s="437"/>
      <c r="H38" s="16">
        <v>253</v>
      </c>
      <c r="I38" s="231"/>
      <c r="J38" s="231"/>
    </row>
    <row r="39" spans="1:10" s="2" customFormat="1" ht="13.5" customHeight="1">
      <c r="A39" s="432" t="s">
        <v>205</v>
      </c>
      <c r="B39" s="433"/>
      <c r="C39" s="433"/>
      <c r="D39" s="433"/>
      <c r="E39" s="433"/>
      <c r="F39" s="433"/>
      <c r="G39" s="433"/>
      <c r="H39" s="433"/>
      <c r="I39" s="433"/>
      <c r="J39" s="434"/>
    </row>
    <row r="40" spans="1:10" s="2" customFormat="1" ht="13.5" customHeight="1">
      <c r="A40" s="435" t="s">
        <v>781</v>
      </c>
      <c r="B40" s="435"/>
      <c r="C40" s="435"/>
      <c r="D40" s="435"/>
      <c r="E40" s="435"/>
      <c r="F40" s="435"/>
      <c r="G40" s="436"/>
      <c r="H40" s="77">
        <v>254</v>
      </c>
      <c r="I40" s="236"/>
      <c r="J40" s="236"/>
    </row>
    <row r="41" spans="1:10" s="2" customFormat="1" ht="13.5" customHeight="1">
      <c r="A41" s="432" t="s">
        <v>206</v>
      </c>
      <c r="B41" s="433"/>
      <c r="C41" s="433"/>
      <c r="D41" s="433"/>
      <c r="E41" s="433"/>
      <c r="F41" s="433"/>
      <c r="G41" s="433"/>
      <c r="H41" s="433"/>
      <c r="I41" s="433"/>
      <c r="J41" s="434"/>
    </row>
    <row r="42" spans="1:10" s="2" customFormat="1" ht="24.75" customHeight="1">
      <c r="A42" s="438" t="s">
        <v>1638</v>
      </c>
      <c r="B42" s="438"/>
      <c r="C42" s="438"/>
      <c r="D42" s="438"/>
      <c r="E42" s="438"/>
      <c r="F42" s="438"/>
      <c r="G42" s="439"/>
      <c r="H42" s="76">
        <v>255</v>
      </c>
      <c r="I42" s="234"/>
      <c r="J42" s="234"/>
    </row>
    <row r="43" spans="1:10" s="2" customFormat="1" ht="13.5" customHeight="1">
      <c r="A43" s="419" t="s">
        <v>207</v>
      </c>
      <c r="B43" s="419"/>
      <c r="C43" s="419"/>
      <c r="D43" s="419"/>
      <c r="E43" s="419"/>
      <c r="F43" s="419"/>
      <c r="G43" s="430"/>
      <c r="H43" s="14">
        <v>256</v>
      </c>
      <c r="I43" s="229"/>
      <c r="J43" s="229"/>
    </row>
    <row r="44" spans="1:10" s="2" customFormat="1" ht="13.5" customHeight="1">
      <c r="A44" s="440" t="s">
        <v>210</v>
      </c>
      <c r="B44" s="440"/>
      <c r="C44" s="440"/>
      <c r="D44" s="440"/>
      <c r="E44" s="440"/>
      <c r="F44" s="440"/>
      <c r="G44" s="441"/>
      <c r="H44" s="14">
        <v>257</v>
      </c>
      <c r="I44" s="229"/>
      <c r="J44" s="229"/>
    </row>
    <row r="45" spans="1:10" s="2" customFormat="1" ht="13.5" customHeight="1">
      <c r="A45" s="419" t="s">
        <v>208</v>
      </c>
      <c r="B45" s="419"/>
      <c r="C45" s="419"/>
      <c r="D45" s="419"/>
      <c r="E45" s="419"/>
      <c r="F45" s="419"/>
      <c r="G45" s="430"/>
      <c r="H45" s="14">
        <v>258</v>
      </c>
      <c r="I45" s="229"/>
      <c r="J45" s="229"/>
    </row>
    <row r="46" spans="1:10" s="2" customFormat="1" ht="24.75" customHeight="1">
      <c r="A46" s="419" t="s">
        <v>211</v>
      </c>
      <c r="B46" s="419"/>
      <c r="C46" s="419"/>
      <c r="D46" s="419"/>
      <c r="E46" s="419"/>
      <c r="F46" s="419"/>
      <c r="G46" s="430"/>
      <c r="H46" s="14">
        <v>259</v>
      </c>
      <c r="I46" s="229"/>
      <c r="J46" s="229"/>
    </row>
    <row r="47" spans="1:10" s="2" customFormat="1" ht="13.5" customHeight="1">
      <c r="A47" s="427" t="s">
        <v>209</v>
      </c>
      <c r="B47" s="427"/>
      <c r="C47" s="427"/>
      <c r="D47" s="427"/>
      <c r="E47" s="427"/>
      <c r="F47" s="427"/>
      <c r="G47" s="437"/>
      <c r="H47" s="16">
        <v>260</v>
      </c>
      <c r="I47" s="231"/>
      <c r="J47" s="231"/>
    </row>
    <row r="48" spans="1:10" s="2" customFormat="1" ht="13.5" customHeight="1">
      <c r="A48" s="432" t="s">
        <v>212</v>
      </c>
      <c r="B48" s="433"/>
      <c r="C48" s="433"/>
      <c r="D48" s="433"/>
      <c r="E48" s="433"/>
      <c r="F48" s="433"/>
      <c r="G48" s="433"/>
      <c r="H48" s="433"/>
      <c r="I48" s="433"/>
      <c r="J48" s="434"/>
    </row>
    <row r="49" spans="1:10" s="2" customFormat="1" ht="13.5" customHeight="1">
      <c r="A49" s="438" t="s">
        <v>214</v>
      </c>
      <c r="B49" s="438"/>
      <c r="C49" s="438"/>
      <c r="D49" s="438"/>
      <c r="E49" s="438"/>
      <c r="F49" s="438"/>
      <c r="G49" s="439"/>
      <c r="H49" s="76">
        <v>261</v>
      </c>
      <c r="I49" s="234"/>
      <c r="J49" s="234"/>
    </row>
    <row r="50" spans="1:10" s="2" customFormat="1" ht="13.5" customHeight="1">
      <c r="A50" s="419" t="s">
        <v>215</v>
      </c>
      <c r="B50" s="419"/>
      <c r="C50" s="419"/>
      <c r="D50" s="419"/>
      <c r="E50" s="419"/>
      <c r="F50" s="419"/>
      <c r="G50" s="430"/>
      <c r="H50" s="14">
        <v>262</v>
      </c>
      <c r="I50" s="229"/>
      <c r="J50" s="229"/>
    </row>
    <row r="51" spans="1:10" s="2" customFormat="1" ht="24.75" customHeight="1">
      <c r="A51" s="419" t="s">
        <v>1639</v>
      </c>
      <c r="B51" s="419"/>
      <c r="C51" s="419"/>
      <c r="D51" s="419"/>
      <c r="E51" s="419"/>
      <c r="F51" s="419"/>
      <c r="G51" s="430"/>
      <c r="H51" s="14">
        <v>263</v>
      </c>
      <c r="I51" s="229"/>
      <c r="J51" s="229"/>
    </row>
    <row r="52" spans="1:10" s="2" customFormat="1" ht="24.75" customHeight="1">
      <c r="A52" s="419" t="s">
        <v>2026</v>
      </c>
      <c r="B52" s="419"/>
      <c r="C52" s="419"/>
      <c r="D52" s="419"/>
      <c r="E52" s="419"/>
      <c r="F52" s="419"/>
      <c r="G52" s="430"/>
      <c r="H52" s="14">
        <v>264</v>
      </c>
      <c r="I52" s="229"/>
      <c r="J52" s="229"/>
    </row>
    <row r="53" spans="1:10" s="2" customFormat="1" ht="13.5" customHeight="1">
      <c r="A53" s="419" t="s">
        <v>216</v>
      </c>
      <c r="B53" s="419"/>
      <c r="C53" s="419"/>
      <c r="D53" s="419"/>
      <c r="E53" s="419"/>
      <c r="F53" s="419"/>
      <c r="G53" s="430"/>
      <c r="H53" s="14">
        <v>265</v>
      </c>
      <c r="I53" s="229"/>
      <c r="J53" s="229"/>
    </row>
    <row r="54" spans="1:10" s="2" customFormat="1" ht="13.5" customHeight="1">
      <c r="A54" s="419" t="s">
        <v>217</v>
      </c>
      <c r="B54" s="419"/>
      <c r="C54" s="419"/>
      <c r="D54" s="419"/>
      <c r="E54" s="419"/>
      <c r="F54" s="419"/>
      <c r="G54" s="430"/>
      <c r="H54" s="14">
        <v>266</v>
      </c>
      <c r="I54" s="229"/>
      <c r="J54" s="229"/>
    </row>
    <row r="55" spans="1:10" s="2" customFormat="1" ht="13.5" customHeight="1">
      <c r="A55" s="419" t="s">
        <v>2388</v>
      </c>
      <c r="B55" s="419"/>
      <c r="C55" s="419"/>
      <c r="D55" s="419"/>
      <c r="E55" s="419"/>
      <c r="F55" s="419"/>
      <c r="G55" s="430"/>
      <c r="H55" s="14">
        <v>267</v>
      </c>
      <c r="I55" s="229"/>
      <c r="J55" s="229"/>
    </row>
    <row r="56" spans="1:10" s="2" customFormat="1" ht="13.5" customHeight="1">
      <c r="A56" s="419" t="s">
        <v>2389</v>
      </c>
      <c r="B56" s="419"/>
      <c r="C56" s="419"/>
      <c r="D56" s="419"/>
      <c r="E56" s="419"/>
      <c r="F56" s="419"/>
      <c r="G56" s="430"/>
      <c r="H56" s="14">
        <v>268</v>
      </c>
      <c r="I56" s="229"/>
      <c r="J56" s="229"/>
    </row>
    <row r="57" spans="1:10" s="2" customFormat="1" ht="25.5" customHeight="1">
      <c r="A57" s="419" t="s">
        <v>2027</v>
      </c>
      <c r="B57" s="419"/>
      <c r="C57" s="419"/>
      <c r="D57" s="419"/>
      <c r="E57" s="419"/>
      <c r="F57" s="419"/>
      <c r="G57" s="430"/>
      <c r="H57" s="14">
        <v>269</v>
      </c>
      <c r="I57" s="229"/>
      <c r="J57" s="229"/>
    </row>
    <row r="58" spans="1:10" s="2" customFormat="1" ht="13.5" customHeight="1">
      <c r="A58" s="419" t="s">
        <v>2390</v>
      </c>
      <c r="B58" s="419"/>
      <c r="C58" s="419"/>
      <c r="D58" s="419"/>
      <c r="E58" s="419"/>
      <c r="F58" s="419"/>
      <c r="G58" s="430"/>
      <c r="H58" s="14">
        <v>270</v>
      </c>
      <c r="I58" s="229"/>
      <c r="J58" s="229"/>
    </row>
    <row r="59" spans="1:10" s="2" customFormat="1" ht="13.5" customHeight="1">
      <c r="A59" s="419" t="s">
        <v>2391</v>
      </c>
      <c r="B59" s="419"/>
      <c r="C59" s="419"/>
      <c r="D59" s="419"/>
      <c r="E59" s="419"/>
      <c r="F59" s="419"/>
      <c r="G59" s="430"/>
      <c r="H59" s="14">
        <v>271</v>
      </c>
      <c r="I59" s="229"/>
      <c r="J59" s="229"/>
    </row>
    <row r="60" spans="1:10" s="2" customFormat="1" ht="13.5" customHeight="1">
      <c r="A60" s="419" t="s">
        <v>2392</v>
      </c>
      <c r="B60" s="419"/>
      <c r="C60" s="419"/>
      <c r="D60" s="419"/>
      <c r="E60" s="419"/>
      <c r="F60" s="419"/>
      <c r="G60" s="430"/>
      <c r="H60" s="14">
        <v>272</v>
      </c>
      <c r="I60" s="229"/>
      <c r="J60" s="229"/>
    </row>
    <row r="61" spans="1:10" s="2" customFormat="1" ht="13.5" customHeight="1">
      <c r="A61" s="440" t="s">
        <v>2028</v>
      </c>
      <c r="B61" s="440"/>
      <c r="C61" s="440"/>
      <c r="D61" s="440"/>
      <c r="E61" s="440"/>
      <c r="F61" s="440"/>
      <c r="G61" s="441"/>
      <c r="H61" s="14">
        <v>273</v>
      </c>
      <c r="I61" s="229"/>
      <c r="J61" s="229"/>
    </row>
    <row r="62" spans="1:10" s="2" customFormat="1" ht="13.5" customHeight="1">
      <c r="A62" s="419" t="s">
        <v>2393</v>
      </c>
      <c r="B62" s="419"/>
      <c r="C62" s="419"/>
      <c r="D62" s="419"/>
      <c r="E62" s="419"/>
      <c r="F62" s="419"/>
      <c r="G62" s="430"/>
      <c r="H62" s="14">
        <v>274</v>
      </c>
      <c r="I62" s="229"/>
      <c r="J62" s="229"/>
    </row>
    <row r="63" spans="1:10" s="2" customFormat="1" ht="13.5" customHeight="1">
      <c r="A63" s="419" t="s">
        <v>539</v>
      </c>
      <c r="B63" s="419"/>
      <c r="C63" s="419"/>
      <c r="D63" s="419"/>
      <c r="E63" s="419"/>
      <c r="F63" s="419"/>
      <c r="G63" s="430"/>
      <c r="H63" s="14">
        <v>275</v>
      </c>
      <c r="I63" s="229"/>
      <c r="J63" s="229"/>
    </row>
    <row r="64" spans="1:10" s="2" customFormat="1" ht="13.5" customHeight="1">
      <c r="A64" s="419" t="s">
        <v>540</v>
      </c>
      <c r="B64" s="419"/>
      <c r="C64" s="419"/>
      <c r="D64" s="419"/>
      <c r="E64" s="419"/>
      <c r="F64" s="419"/>
      <c r="G64" s="430"/>
      <c r="H64" s="14">
        <v>276</v>
      </c>
      <c r="I64" s="229"/>
      <c r="J64" s="229"/>
    </row>
    <row r="65" spans="1:10" s="2" customFormat="1" ht="13.5" customHeight="1">
      <c r="A65" s="419" t="s">
        <v>2025</v>
      </c>
      <c r="B65" s="419"/>
      <c r="C65" s="419"/>
      <c r="D65" s="419"/>
      <c r="E65" s="419"/>
      <c r="F65" s="419"/>
      <c r="G65" s="430"/>
      <c r="H65" s="14">
        <v>277</v>
      </c>
      <c r="I65" s="229"/>
      <c r="J65" s="229"/>
    </row>
    <row r="66" spans="1:10" s="2" customFormat="1" ht="13.5" customHeight="1">
      <c r="A66" s="440" t="s">
        <v>782</v>
      </c>
      <c r="B66" s="440"/>
      <c r="C66" s="440"/>
      <c r="D66" s="440"/>
      <c r="E66" s="440"/>
      <c r="F66" s="440"/>
      <c r="G66" s="441"/>
      <c r="H66" s="14">
        <v>278</v>
      </c>
      <c r="I66" s="229"/>
      <c r="J66" s="229"/>
    </row>
    <row r="67" spans="1:10" s="2" customFormat="1" ht="24.75" customHeight="1">
      <c r="A67" s="419" t="s">
        <v>1640</v>
      </c>
      <c r="B67" s="419"/>
      <c r="C67" s="419"/>
      <c r="D67" s="419"/>
      <c r="E67" s="419"/>
      <c r="F67" s="419"/>
      <c r="G67" s="430"/>
      <c r="H67" s="14">
        <v>279</v>
      </c>
      <c r="I67" s="229"/>
      <c r="J67" s="229"/>
    </row>
    <row r="68" spans="1:12" s="2" customFormat="1" ht="13.5" customHeight="1">
      <c r="A68" s="419" t="s">
        <v>2031</v>
      </c>
      <c r="B68" s="419"/>
      <c r="C68" s="419"/>
      <c r="D68" s="419"/>
      <c r="E68" s="419"/>
      <c r="F68" s="419"/>
      <c r="G68" s="430"/>
      <c r="H68" s="14">
        <v>280</v>
      </c>
      <c r="I68" s="229"/>
      <c r="J68" s="229"/>
      <c r="L68" s="2" t="s">
        <v>391</v>
      </c>
    </row>
    <row r="69" spans="1:12" s="2" customFormat="1" ht="13.5" customHeight="1">
      <c r="A69" s="419" t="s">
        <v>2030</v>
      </c>
      <c r="B69" s="419"/>
      <c r="C69" s="419"/>
      <c r="D69" s="419"/>
      <c r="E69" s="419"/>
      <c r="F69" s="419"/>
      <c r="G69" s="430"/>
      <c r="H69" s="14">
        <v>281</v>
      </c>
      <c r="I69" s="229"/>
      <c r="J69" s="229"/>
      <c r="L69" s="2" t="s">
        <v>391</v>
      </c>
    </row>
    <row r="70" spans="1:12" s="2" customFormat="1" ht="24.75" customHeight="1">
      <c r="A70" s="419" t="s">
        <v>2029</v>
      </c>
      <c r="B70" s="419"/>
      <c r="C70" s="419"/>
      <c r="D70" s="419"/>
      <c r="E70" s="419"/>
      <c r="F70" s="419"/>
      <c r="G70" s="430"/>
      <c r="H70" s="14">
        <v>282</v>
      </c>
      <c r="I70" s="229"/>
      <c r="J70" s="229"/>
      <c r="L70" s="2" t="s">
        <v>391</v>
      </c>
    </row>
    <row r="71" spans="1:10" s="2" customFormat="1" ht="13.5" customHeight="1">
      <c r="A71" s="427" t="s">
        <v>1527</v>
      </c>
      <c r="B71" s="427"/>
      <c r="C71" s="427"/>
      <c r="D71" s="427"/>
      <c r="E71" s="427"/>
      <c r="F71" s="427"/>
      <c r="G71" s="437"/>
      <c r="H71" s="16">
        <v>283</v>
      </c>
      <c r="I71" s="231"/>
      <c r="J71" s="231"/>
    </row>
    <row r="72" spans="1:10" s="2" customFormat="1" ht="13.5" customHeight="1">
      <c r="A72" s="432" t="s">
        <v>213</v>
      </c>
      <c r="B72" s="433"/>
      <c r="C72" s="433"/>
      <c r="D72" s="433"/>
      <c r="E72" s="433"/>
      <c r="F72" s="433"/>
      <c r="G72" s="433"/>
      <c r="H72" s="433"/>
      <c r="I72" s="433"/>
      <c r="J72" s="434"/>
    </row>
    <row r="73" spans="1:10" s="2" customFormat="1" ht="13.5" customHeight="1">
      <c r="A73" s="438" t="s">
        <v>173</v>
      </c>
      <c r="B73" s="438"/>
      <c r="C73" s="438"/>
      <c r="D73" s="438"/>
      <c r="E73" s="438"/>
      <c r="F73" s="438"/>
      <c r="G73" s="439"/>
      <c r="H73" s="76">
        <v>284</v>
      </c>
      <c r="I73" s="234"/>
      <c r="J73" s="234"/>
    </row>
    <row r="74" spans="1:10" s="2" customFormat="1" ht="13.5" customHeight="1">
      <c r="A74" s="419" t="s">
        <v>174</v>
      </c>
      <c r="B74" s="419"/>
      <c r="C74" s="419"/>
      <c r="D74" s="419"/>
      <c r="E74" s="419"/>
      <c r="F74" s="419"/>
      <c r="G74" s="430"/>
      <c r="H74" s="14">
        <v>285</v>
      </c>
      <c r="I74" s="229"/>
      <c r="J74" s="229"/>
    </row>
    <row r="75" spans="1:10" s="2" customFormat="1" ht="13.5" customHeight="1">
      <c r="A75" s="419" t="s">
        <v>2993</v>
      </c>
      <c r="B75" s="419"/>
      <c r="C75" s="419"/>
      <c r="D75" s="419"/>
      <c r="E75" s="419"/>
      <c r="F75" s="419"/>
      <c r="G75" s="430"/>
      <c r="H75" s="14">
        <v>286</v>
      </c>
      <c r="I75" s="229"/>
      <c r="J75" s="229"/>
    </row>
    <row r="76" spans="1:10" s="2" customFormat="1" ht="13.5" customHeight="1">
      <c r="A76" s="427" t="s">
        <v>2994</v>
      </c>
      <c r="B76" s="427"/>
      <c r="C76" s="427"/>
      <c r="D76" s="427"/>
      <c r="E76" s="427"/>
      <c r="F76" s="427"/>
      <c r="G76" s="437"/>
      <c r="H76" s="16">
        <v>287</v>
      </c>
      <c r="I76" s="231"/>
      <c r="J76" s="231"/>
    </row>
    <row r="77" spans="1:10" s="2" customFormat="1" ht="13.5" customHeight="1">
      <c r="A77" s="432" t="s">
        <v>1526</v>
      </c>
      <c r="B77" s="433"/>
      <c r="C77" s="433"/>
      <c r="D77" s="433"/>
      <c r="E77" s="433"/>
      <c r="F77" s="433"/>
      <c r="G77" s="433"/>
      <c r="H77" s="433"/>
      <c r="I77" s="433"/>
      <c r="J77" s="434"/>
    </row>
    <row r="78" spans="1:10" s="2" customFormat="1" ht="24.75" customHeight="1">
      <c r="A78" s="438" t="s">
        <v>975</v>
      </c>
      <c r="B78" s="438"/>
      <c r="C78" s="438"/>
      <c r="D78" s="438"/>
      <c r="E78" s="438"/>
      <c r="F78" s="438"/>
      <c r="G78" s="439"/>
      <c r="H78" s="76">
        <v>288</v>
      </c>
      <c r="I78" s="237">
        <f>ROUND(SUM(I79:I82),2)</f>
        <v>0</v>
      </c>
      <c r="J78" s="237">
        <f>ROUND(SUM(J79:J82),2)</f>
        <v>0</v>
      </c>
    </row>
    <row r="79" spans="1:10" s="2" customFormat="1" ht="13.5" customHeight="1">
      <c r="A79" s="419" t="s">
        <v>2197</v>
      </c>
      <c r="B79" s="419"/>
      <c r="C79" s="419"/>
      <c r="D79" s="419"/>
      <c r="E79" s="419"/>
      <c r="F79" s="419"/>
      <c r="G79" s="430"/>
      <c r="H79" s="14">
        <v>289</v>
      </c>
      <c r="I79" s="229"/>
      <c r="J79" s="229"/>
    </row>
    <row r="80" spans="1:10" s="2" customFormat="1" ht="13.5" customHeight="1">
      <c r="A80" s="419" t="s">
        <v>2198</v>
      </c>
      <c r="B80" s="419"/>
      <c r="C80" s="419"/>
      <c r="D80" s="419"/>
      <c r="E80" s="419"/>
      <c r="F80" s="419"/>
      <c r="G80" s="430"/>
      <c r="H80" s="14">
        <v>290</v>
      </c>
      <c r="I80" s="229"/>
      <c r="J80" s="229"/>
    </row>
    <row r="81" spans="1:10" s="2" customFormat="1" ht="13.5" customHeight="1">
      <c r="A81" s="419" t="s">
        <v>818</v>
      </c>
      <c r="B81" s="419"/>
      <c r="C81" s="419"/>
      <c r="D81" s="419"/>
      <c r="E81" s="419"/>
      <c r="F81" s="419"/>
      <c r="G81" s="430"/>
      <c r="H81" s="14">
        <v>291</v>
      </c>
      <c r="I81" s="229"/>
      <c r="J81" s="229"/>
    </row>
    <row r="82" spans="1:10" s="2" customFormat="1" ht="36" customHeight="1">
      <c r="A82" s="419" t="s">
        <v>821</v>
      </c>
      <c r="B82" s="419"/>
      <c r="C82" s="419"/>
      <c r="D82" s="419"/>
      <c r="E82" s="419"/>
      <c r="F82" s="419"/>
      <c r="G82" s="430"/>
      <c r="H82" s="14">
        <v>292</v>
      </c>
      <c r="I82" s="229"/>
      <c r="J82" s="229"/>
    </row>
    <row r="83" spans="1:10" s="2" customFormat="1" ht="13.5" customHeight="1">
      <c r="A83" s="419" t="s">
        <v>819</v>
      </c>
      <c r="B83" s="419"/>
      <c r="C83" s="419"/>
      <c r="D83" s="419"/>
      <c r="E83" s="419"/>
      <c r="F83" s="419"/>
      <c r="G83" s="430"/>
      <c r="H83" s="14">
        <v>293</v>
      </c>
      <c r="I83" s="229"/>
      <c r="J83" s="229"/>
    </row>
    <row r="84" spans="1:10" s="2" customFormat="1" ht="13.5" customHeight="1">
      <c r="A84" s="419" t="s">
        <v>820</v>
      </c>
      <c r="B84" s="419"/>
      <c r="C84" s="419"/>
      <c r="D84" s="419"/>
      <c r="E84" s="419"/>
      <c r="F84" s="419"/>
      <c r="G84" s="430"/>
      <c r="H84" s="14">
        <v>294</v>
      </c>
      <c r="I84" s="229"/>
      <c r="J84" s="229"/>
    </row>
    <row r="85" spans="1:10" s="2" customFormat="1" ht="24.75" customHeight="1">
      <c r="A85" s="419" t="s">
        <v>1641</v>
      </c>
      <c r="B85" s="419"/>
      <c r="C85" s="419"/>
      <c r="D85" s="419"/>
      <c r="E85" s="419"/>
      <c r="F85" s="419"/>
      <c r="G85" s="430"/>
      <c r="H85" s="14">
        <v>295</v>
      </c>
      <c r="I85" s="229"/>
      <c r="J85" s="229"/>
    </row>
    <row r="86" spans="1:10" s="2" customFormat="1" ht="24.75" customHeight="1">
      <c r="A86" s="427" t="s">
        <v>822</v>
      </c>
      <c r="B86" s="427"/>
      <c r="C86" s="427"/>
      <c r="D86" s="427"/>
      <c r="E86" s="427"/>
      <c r="F86" s="427"/>
      <c r="G86" s="437"/>
      <c r="H86" s="16">
        <v>296</v>
      </c>
      <c r="I86" s="231"/>
      <c r="J86" s="231"/>
    </row>
    <row r="87" spans="1:10" s="2" customFormat="1" ht="13.5" customHeight="1">
      <c r="A87" s="432" t="s">
        <v>2196</v>
      </c>
      <c r="B87" s="433"/>
      <c r="C87" s="433"/>
      <c r="D87" s="433"/>
      <c r="E87" s="433"/>
      <c r="F87" s="433"/>
      <c r="G87" s="433"/>
      <c r="H87" s="433"/>
      <c r="I87" s="433"/>
      <c r="J87" s="434"/>
    </row>
    <row r="88" spans="1:13" s="2" customFormat="1" ht="36" customHeight="1">
      <c r="A88" s="435" t="s">
        <v>823</v>
      </c>
      <c r="B88" s="435"/>
      <c r="C88" s="435"/>
      <c r="D88" s="435"/>
      <c r="E88" s="435"/>
      <c r="F88" s="435"/>
      <c r="G88" s="436"/>
      <c r="H88" s="77">
        <v>297</v>
      </c>
      <c r="I88" s="236"/>
      <c r="J88" s="236"/>
      <c r="M88" s="72"/>
    </row>
    <row r="89" spans="15:16" ht="4.5" customHeight="1">
      <c r="O89" s="2"/>
      <c r="P89" s="2"/>
    </row>
  </sheetData>
  <sheetProtection password="C79A" sheet="1" objects="1" scenarios="1"/>
  <mergeCells count="87">
    <mergeCell ref="A25:G25"/>
    <mergeCell ref="A18:G18"/>
    <mergeCell ref="A21:G21"/>
    <mergeCell ref="A19:G19"/>
    <mergeCell ref="A20:G20"/>
    <mergeCell ref="A23:G23"/>
    <mergeCell ref="A24:J24"/>
    <mergeCell ref="A17:G17"/>
    <mergeCell ref="A12:G12"/>
    <mergeCell ref="A13:G13"/>
    <mergeCell ref="A22:J22"/>
    <mergeCell ref="A16:J16"/>
    <mergeCell ref="A2:I2"/>
    <mergeCell ref="A3:I3"/>
    <mergeCell ref="A15:G15"/>
    <mergeCell ref="J2:J3"/>
    <mergeCell ref="A7:G7"/>
    <mergeCell ref="A6:G6"/>
    <mergeCell ref="A14:G14"/>
    <mergeCell ref="A8:J8"/>
    <mergeCell ref="A9:G9"/>
    <mergeCell ref="A10:G10"/>
    <mergeCell ref="A45:G45"/>
    <mergeCell ref="A27:G27"/>
    <mergeCell ref="A28:G28"/>
    <mergeCell ref="A29:G29"/>
    <mergeCell ref="A32:G32"/>
    <mergeCell ref="A33:G33"/>
    <mergeCell ref="A30:G30"/>
    <mergeCell ref="A31:G31"/>
    <mergeCell ref="A57:G57"/>
    <mergeCell ref="A58:G58"/>
    <mergeCell ref="A55:G55"/>
    <mergeCell ref="A41:J41"/>
    <mergeCell ref="A43:G43"/>
    <mergeCell ref="A46:G46"/>
    <mergeCell ref="A44:G44"/>
    <mergeCell ref="A47:G47"/>
    <mergeCell ref="A49:G49"/>
    <mergeCell ref="A48:J48"/>
    <mergeCell ref="A11:G11"/>
    <mergeCell ref="A42:G42"/>
    <mergeCell ref="A40:G40"/>
    <mergeCell ref="A36:J36"/>
    <mergeCell ref="A34:G34"/>
    <mergeCell ref="A39:J39"/>
    <mergeCell ref="A37:G37"/>
    <mergeCell ref="A35:G35"/>
    <mergeCell ref="A38:G38"/>
    <mergeCell ref="A26:G26"/>
    <mergeCell ref="A86:G86"/>
    <mergeCell ref="A66:G66"/>
    <mergeCell ref="A59:G59"/>
    <mergeCell ref="A60:G60"/>
    <mergeCell ref="A75:G75"/>
    <mergeCell ref="A73:G73"/>
    <mergeCell ref="A61:G61"/>
    <mergeCell ref="A56:G56"/>
    <mergeCell ref="A53:G53"/>
    <mergeCell ref="A88:G88"/>
    <mergeCell ref="A71:G71"/>
    <mergeCell ref="A79:G79"/>
    <mergeCell ref="A80:G80"/>
    <mergeCell ref="A78:G78"/>
    <mergeCell ref="A76:G76"/>
    <mergeCell ref="A72:J72"/>
    <mergeCell ref="A74:G74"/>
    <mergeCell ref="A87:J87"/>
    <mergeCell ref="A50:G50"/>
    <mergeCell ref="A54:G54"/>
    <mergeCell ref="A69:G69"/>
    <mergeCell ref="A70:G70"/>
    <mergeCell ref="A64:G64"/>
    <mergeCell ref="A68:G68"/>
    <mergeCell ref="A67:G67"/>
    <mergeCell ref="A65:G65"/>
    <mergeCell ref="A51:G51"/>
    <mergeCell ref="A52:G52"/>
    <mergeCell ref="A5:I5"/>
    <mergeCell ref="A85:G85"/>
    <mergeCell ref="A83:G83"/>
    <mergeCell ref="A84:G84"/>
    <mergeCell ref="A81:G81"/>
    <mergeCell ref="A82:G82"/>
    <mergeCell ref="A62:G62"/>
    <mergeCell ref="A63:G63"/>
    <mergeCell ref="A77:J77"/>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0</v>
      </c>
      <c r="R1" s="63" t="s">
        <v>1705</v>
      </c>
    </row>
    <row r="2" spans="1:18" s="2" customFormat="1" ht="19.5" customHeight="1">
      <c r="A2" s="445" t="s">
        <v>284</v>
      </c>
      <c r="B2" s="446"/>
      <c r="C2" s="446"/>
      <c r="D2" s="446"/>
      <c r="E2" s="446"/>
      <c r="F2" s="446"/>
      <c r="G2" s="446"/>
      <c r="H2" s="446"/>
      <c r="I2" s="455"/>
      <c r="J2" s="398" t="s">
        <v>394</v>
      </c>
      <c r="Q2" s="64">
        <f>IF(OR(MIN(I8:I60)&lt;0,MAX(I8:I60)&gt;0),1,0)</f>
        <v>0</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6"/>
      <c r="J3" s="451"/>
      <c r="Q3" s="64">
        <f>IF(OR(MIN(J8:J60)&lt;0,MAX(J8:J60)&gt;0),1,0)</f>
        <v>0</v>
      </c>
      <c r="R3" s="63" t="s">
        <v>387</v>
      </c>
    </row>
    <row r="4" spans="1:9" s="2" customFormat="1" ht="4.5" customHeight="1">
      <c r="A4" s="96"/>
      <c r="B4" s="73"/>
      <c r="C4" s="73"/>
      <c r="D4" s="73"/>
      <c r="E4" s="73"/>
      <c r="F4" s="73"/>
      <c r="G4" s="73"/>
      <c r="H4" s="73"/>
      <c r="I4" s="74"/>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0" s="2" customFormat="1" ht="13.5" customHeight="1">
      <c r="A9" s="419" t="s">
        <v>825</v>
      </c>
      <c r="B9" s="419"/>
      <c r="C9" s="419"/>
      <c r="D9" s="419"/>
      <c r="E9" s="419"/>
      <c r="F9" s="419"/>
      <c r="G9" s="14">
        <v>1</v>
      </c>
      <c r="H9" s="18"/>
      <c r="I9" s="235"/>
      <c r="J9" s="235"/>
    </row>
    <row r="10" spans="1:10" s="2" customFormat="1" ht="13.5" customHeight="1">
      <c r="A10" s="419" t="s">
        <v>1258</v>
      </c>
      <c r="B10" s="419"/>
      <c r="C10" s="419"/>
      <c r="D10" s="419"/>
      <c r="E10" s="419"/>
      <c r="F10" s="419"/>
      <c r="G10" s="14">
        <v>2</v>
      </c>
      <c r="H10" s="18"/>
      <c r="I10" s="238">
        <f>ROUND(SUM(I11:I18),2)</f>
        <v>0</v>
      </c>
      <c r="J10" s="238">
        <f>ROUND(SUM(J11:J18),2)</f>
        <v>0</v>
      </c>
    </row>
    <row r="11" spans="1:12" s="2" customFormat="1" ht="13.5" customHeight="1">
      <c r="A11" s="440" t="s">
        <v>2670</v>
      </c>
      <c r="B11" s="440"/>
      <c r="C11" s="440"/>
      <c r="D11" s="440"/>
      <c r="E11" s="440"/>
      <c r="F11" s="440"/>
      <c r="G11" s="14">
        <v>3</v>
      </c>
      <c r="H11" s="18"/>
      <c r="I11" s="235"/>
      <c r="J11" s="235"/>
      <c r="L11" s="2" t="s">
        <v>1674</v>
      </c>
    </row>
    <row r="12" spans="1:10" s="2" customFormat="1" ht="24.75" customHeight="1">
      <c r="A12" s="440" t="s">
        <v>1539</v>
      </c>
      <c r="B12" s="440"/>
      <c r="C12" s="440"/>
      <c r="D12" s="440"/>
      <c r="E12" s="440"/>
      <c r="F12" s="440"/>
      <c r="G12" s="14">
        <v>4</v>
      </c>
      <c r="H12" s="18"/>
      <c r="I12" s="235"/>
      <c r="J12" s="235"/>
    </row>
    <row r="13" spans="1:10" s="2" customFormat="1" ht="24.75" customHeight="1">
      <c r="A13" s="440" t="s">
        <v>1540</v>
      </c>
      <c r="B13" s="440"/>
      <c r="C13" s="440"/>
      <c r="D13" s="440"/>
      <c r="E13" s="440"/>
      <c r="F13" s="440"/>
      <c r="G13" s="14">
        <v>5</v>
      </c>
      <c r="H13" s="18"/>
      <c r="I13" s="235"/>
      <c r="J13" s="235"/>
    </row>
    <row r="14" spans="1:12" s="2" customFormat="1" ht="13.5" customHeight="1">
      <c r="A14" s="440" t="s">
        <v>2671</v>
      </c>
      <c r="B14" s="440"/>
      <c r="C14" s="440"/>
      <c r="D14" s="440"/>
      <c r="E14" s="440"/>
      <c r="F14" s="440"/>
      <c r="G14" s="14">
        <v>6</v>
      </c>
      <c r="H14" s="18"/>
      <c r="I14" s="235"/>
      <c r="J14" s="235"/>
      <c r="L14" s="2" t="s">
        <v>391</v>
      </c>
    </row>
    <row r="15" spans="1:12" s="2" customFormat="1" ht="13.5" customHeight="1">
      <c r="A15" s="440" t="s">
        <v>2672</v>
      </c>
      <c r="B15" s="440"/>
      <c r="C15" s="440"/>
      <c r="D15" s="440"/>
      <c r="E15" s="440"/>
      <c r="F15" s="440"/>
      <c r="G15" s="14">
        <v>7</v>
      </c>
      <c r="H15" s="18"/>
      <c r="I15" s="235"/>
      <c r="J15" s="235"/>
      <c r="L15" s="2" t="s">
        <v>1674</v>
      </c>
    </row>
    <row r="16" spans="1:10" s="2" customFormat="1" ht="13.5" customHeight="1">
      <c r="A16" s="440" t="s">
        <v>2673</v>
      </c>
      <c r="B16" s="440"/>
      <c r="C16" s="440"/>
      <c r="D16" s="440"/>
      <c r="E16" s="440"/>
      <c r="F16" s="440"/>
      <c r="G16" s="14">
        <v>8</v>
      </c>
      <c r="H16" s="18"/>
      <c r="I16" s="235"/>
      <c r="J16" s="235"/>
    </row>
    <row r="17" spans="1:10" s="2" customFormat="1" ht="13.5" customHeight="1">
      <c r="A17" s="440" t="s">
        <v>2674</v>
      </c>
      <c r="B17" s="440"/>
      <c r="C17" s="440"/>
      <c r="D17" s="440"/>
      <c r="E17" s="440"/>
      <c r="F17" s="440"/>
      <c r="G17" s="14">
        <v>9</v>
      </c>
      <c r="H17" s="18"/>
      <c r="I17" s="235"/>
      <c r="J17" s="235"/>
    </row>
    <row r="18" spans="1:10" s="2" customFormat="1" ht="13.5" customHeight="1">
      <c r="A18" s="440" t="s">
        <v>1538</v>
      </c>
      <c r="B18" s="440"/>
      <c r="C18" s="440"/>
      <c r="D18" s="440"/>
      <c r="E18" s="440"/>
      <c r="F18" s="440"/>
      <c r="G18" s="14">
        <v>10</v>
      </c>
      <c r="H18" s="18"/>
      <c r="I18" s="235"/>
      <c r="J18" s="235"/>
    </row>
    <row r="19" spans="1:14" s="2" customFormat="1" ht="24.75" customHeight="1">
      <c r="A19" s="414" t="s">
        <v>1537</v>
      </c>
      <c r="B19" s="414"/>
      <c r="C19" s="414"/>
      <c r="D19" s="414"/>
      <c r="E19" s="414"/>
      <c r="F19" s="414"/>
      <c r="G19" s="14">
        <v>11</v>
      </c>
      <c r="H19" s="18"/>
      <c r="I19" s="238">
        <f>ROUND(I9+I10,2)</f>
        <v>0</v>
      </c>
      <c r="J19" s="238">
        <f>ROUND(J9+J10,2)</f>
        <v>0</v>
      </c>
      <c r="N19" s="2">
        <f>IF(MIN(NT_I!I11:J11,NT_I!I15:J15,NT_I!I30:J36,NT_I!I59:J60)&lt;0,1,0)</f>
        <v>0</v>
      </c>
    </row>
    <row r="20" spans="1:10" s="2" customFormat="1" ht="13.5" customHeight="1">
      <c r="A20" s="419" t="s">
        <v>2902</v>
      </c>
      <c r="B20" s="419"/>
      <c r="C20" s="419"/>
      <c r="D20" s="419"/>
      <c r="E20" s="419"/>
      <c r="F20" s="419"/>
      <c r="G20" s="14">
        <v>12</v>
      </c>
      <c r="H20" s="18"/>
      <c r="I20" s="238">
        <f>ROUND(SUM(I21:I24),2)</f>
        <v>0</v>
      </c>
      <c r="J20" s="238">
        <f>ROUND(SUM(J21:J24),2)</f>
        <v>0</v>
      </c>
    </row>
    <row r="21" spans="1:10" s="2" customFormat="1" ht="13.5" customHeight="1">
      <c r="A21" s="440" t="s">
        <v>1876</v>
      </c>
      <c r="B21" s="440"/>
      <c r="C21" s="440"/>
      <c r="D21" s="440"/>
      <c r="E21" s="440"/>
      <c r="F21" s="440"/>
      <c r="G21" s="14">
        <v>13</v>
      </c>
      <c r="H21" s="18"/>
      <c r="I21" s="235"/>
      <c r="J21" s="235"/>
    </row>
    <row r="22" spans="1:10" s="2" customFormat="1" ht="13.5" customHeight="1">
      <c r="A22" s="440" t="s">
        <v>1877</v>
      </c>
      <c r="B22" s="440"/>
      <c r="C22" s="440"/>
      <c r="D22" s="440"/>
      <c r="E22" s="440"/>
      <c r="F22" s="440"/>
      <c r="G22" s="14">
        <v>14</v>
      </c>
      <c r="H22" s="18"/>
      <c r="I22" s="235"/>
      <c r="J22" s="235"/>
    </row>
    <row r="23" spans="1:10" s="2" customFormat="1" ht="13.5" customHeight="1">
      <c r="A23" s="440" t="s">
        <v>1878</v>
      </c>
      <c r="B23" s="440"/>
      <c r="C23" s="440"/>
      <c r="D23" s="440"/>
      <c r="E23" s="440"/>
      <c r="F23" s="440"/>
      <c r="G23" s="14">
        <v>15</v>
      </c>
      <c r="H23" s="18"/>
      <c r="I23" s="235"/>
      <c r="J23" s="235"/>
    </row>
    <row r="24" spans="1:10" s="2" customFormat="1" ht="13.5" customHeight="1">
      <c r="A24" s="440" t="s">
        <v>1879</v>
      </c>
      <c r="B24" s="440"/>
      <c r="C24" s="440"/>
      <c r="D24" s="440"/>
      <c r="E24" s="440"/>
      <c r="F24" s="440"/>
      <c r="G24" s="14">
        <v>16</v>
      </c>
      <c r="H24" s="18"/>
      <c r="I24" s="235"/>
      <c r="J24" s="235"/>
    </row>
    <row r="25" spans="1:10" s="2" customFormat="1" ht="13.5" customHeight="1">
      <c r="A25" s="414" t="s">
        <v>2022</v>
      </c>
      <c r="B25" s="414"/>
      <c r="C25" s="414"/>
      <c r="D25" s="414"/>
      <c r="E25" s="414"/>
      <c r="F25" s="414"/>
      <c r="G25" s="14">
        <v>17</v>
      </c>
      <c r="H25" s="18"/>
      <c r="I25" s="238">
        <f>ROUND(I19+I20,2)</f>
        <v>0</v>
      </c>
      <c r="J25" s="238">
        <f>ROUND(J19+J20,2)</f>
        <v>0</v>
      </c>
    </row>
    <row r="26" spans="1:12" s="2" customFormat="1" ht="13.5" customHeight="1">
      <c r="A26" s="419" t="s">
        <v>721</v>
      </c>
      <c r="B26" s="419"/>
      <c r="C26" s="419"/>
      <c r="D26" s="419"/>
      <c r="E26" s="419"/>
      <c r="F26" s="419"/>
      <c r="G26" s="14">
        <v>18</v>
      </c>
      <c r="H26" s="18"/>
      <c r="I26" s="235"/>
      <c r="J26" s="235"/>
      <c r="L26" s="2" t="s">
        <v>391</v>
      </c>
    </row>
    <row r="27" spans="1:10" s="2" customFormat="1" ht="13.5" customHeight="1">
      <c r="A27" s="419" t="s">
        <v>722</v>
      </c>
      <c r="B27" s="419"/>
      <c r="C27" s="419"/>
      <c r="D27" s="419"/>
      <c r="E27" s="419"/>
      <c r="F27" s="419"/>
      <c r="G27" s="14">
        <v>19</v>
      </c>
      <c r="H27" s="18"/>
      <c r="I27" s="235"/>
      <c r="J27" s="235"/>
    </row>
    <row r="28" spans="1:10" s="2" customFormat="1" ht="13.5" customHeight="1">
      <c r="A28" s="463" t="s">
        <v>1257</v>
      </c>
      <c r="B28" s="463"/>
      <c r="C28" s="463"/>
      <c r="D28" s="463"/>
      <c r="E28" s="463"/>
      <c r="F28" s="463"/>
      <c r="G28" s="16">
        <v>20</v>
      </c>
      <c r="H28" s="19"/>
      <c r="I28" s="239">
        <f>ROUND(SUM(I25:I27),2)</f>
        <v>0</v>
      </c>
      <c r="J28" s="239">
        <f>ROUND(SUM(J25:J27),2)</f>
        <v>0</v>
      </c>
    </row>
    <row r="29" spans="1:10" s="2" customFormat="1" ht="15" customHeight="1">
      <c r="A29" s="457" t="s">
        <v>1880</v>
      </c>
      <c r="B29" s="458"/>
      <c r="C29" s="458"/>
      <c r="D29" s="458"/>
      <c r="E29" s="458"/>
      <c r="F29" s="458"/>
      <c r="G29" s="458"/>
      <c r="H29" s="458"/>
      <c r="I29" s="458"/>
      <c r="J29" s="458"/>
    </row>
    <row r="30" spans="1:12" s="2" customFormat="1" ht="13.5" customHeight="1">
      <c r="A30" s="419" t="s">
        <v>1248</v>
      </c>
      <c r="B30" s="419"/>
      <c r="C30" s="419"/>
      <c r="D30" s="419"/>
      <c r="E30" s="419"/>
      <c r="F30" s="419"/>
      <c r="G30" s="14">
        <v>21</v>
      </c>
      <c r="H30" s="18"/>
      <c r="I30" s="235"/>
      <c r="J30" s="235"/>
      <c r="L30" s="2" t="s">
        <v>1674</v>
      </c>
    </row>
    <row r="31" spans="1:12" s="2" customFormat="1" ht="13.5" customHeight="1">
      <c r="A31" s="419" t="s">
        <v>1249</v>
      </c>
      <c r="B31" s="419"/>
      <c r="C31" s="419"/>
      <c r="D31" s="419"/>
      <c r="E31" s="419"/>
      <c r="F31" s="419"/>
      <c r="G31" s="14">
        <v>22</v>
      </c>
      <c r="H31" s="18"/>
      <c r="I31" s="235"/>
      <c r="J31" s="235"/>
      <c r="L31" s="2" t="s">
        <v>1674</v>
      </c>
    </row>
    <row r="32" spans="1:12" s="2" customFormat="1" ht="13.5" customHeight="1">
      <c r="A32" s="419" t="s">
        <v>1250</v>
      </c>
      <c r="B32" s="419"/>
      <c r="C32" s="419"/>
      <c r="D32" s="419"/>
      <c r="E32" s="419"/>
      <c r="F32" s="419"/>
      <c r="G32" s="14">
        <v>23</v>
      </c>
      <c r="H32" s="18"/>
      <c r="I32" s="235"/>
      <c r="J32" s="235"/>
      <c r="L32" s="2" t="s">
        <v>1674</v>
      </c>
    </row>
    <row r="33" spans="1:12" s="2" customFormat="1" ht="13.5" customHeight="1">
      <c r="A33" s="419" t="s">
        <v>1251</v>
      </c>
      <c r="B33" s="419"/>
      <c r="C33" s="419"/>
      <c r="D33" s="419"/>
      <c r="E33" s="419"/>
      <c r="F33" s="419"/>
      <c r="G33" s="14">
        <v>24</v>
      </c>
      <c r="H33" s="18"/>
      <c r="I33" s="235"/>
      <c r="J33" s="235"/>
      <c r="L33" s="2" t="s">
        <v>1674</v>
      </c>
    </row>
    <row r="34" spans="1:12" s="2" customFormat="1" ht="13.5" customHeight="1">
      <c r="A34" s="419" t="s">
        <v>1252</v>
      </c>
      <c r="B34" s="419"/>
      <c r="C34" s="419"/>
      <c r="D34" s="419"/>
      <c r="E34" s="419"/>
      <c r="F34" s="419"/>
      <c r="G34" s="14">
        <v>25</v>
      </c>
      <c r="H34" s="18"/>
      <c r="I34" s="235"/>
      <c r="J34" s="235"/>
      <c r="L34" s="2" t="s">
        <v>1674</v>
      </c>
    </row>
    <row r="35" spans="1:12" s="2" customFormat="1" ht="13.5" customHeight="1">
      <c r="A35" s="419" t="s">
        <v>1881</v>
      </c>
      <c r="B35" s="419"/>
      <c r="C35" s="419"/>
      <c r="D35" s="419"/>
      <c r="E35" s="419"/>
      <c r="F35" s="419"/>
      <c r="G35" s="14">
        <v>26</v>
      </c>
      <c r="H35" s="18"/>
      <c r="I35" s="235"/>
      <c r="J35" s="235"/>
      <c r="L35" s="2" t="s">
        <v>1674</v>
      </c>
    </row>
    <row r="36" spans="1:12" s="2" customFormat="1" ht="13.5" customHeight="1">
      <c r="A36" s="414" t="s">
        <v>2021</v>
      </c>
      <c r="B36" s="414"/>
      <c r="C36" s="414"/>
      <c r="D36" s="414"/>
      <c r="E36" s="414"/>
      <c r="F36" s="414"/>
      <c r="G36" s="14">
        <v>27</v>
      </c>
      <c r="H36" s="18"/>
      <c r="I36" s="238">
        <f>ROUND(SUM(I30:I35),2)</f>
        <v>0</v>
      </c>
      <c r="J36" s="238">
        <f>ROUND(SUM(J30:J35),2)</f>
        <v>0</v>
      </c>
      <c r="L36" s="2" t="s">
        <v>1674</v>
      </c>
    </row>
    <row r="37" spans="1:12" s="2" customFormat="1" ht="13.5" customHeight="1">
      <c r="A37" s="419" t="s">
        <v>1253</v>
      </c>
      <c r="B37" s="419"/>
      <c r="C37" s="419"/>
      <c r="D37" s="419"/>
      <c r="E37" s="419"/>
      <c r="F37" s="419"/>
      <c r="G37" s="14">
        <v>28</v>
      </c>
      <c r="H37" s="18"/>
      <c r="I37" s="235"/>
      <c r="J37" s="235"/>
      <c r="L37" s="2" t="s">
        <v>391</v>
      </c>
    </row>
    <row r="38" spans="1:12" s="2" customFormat="1" ht="13.5" customHeight="1">
      <c r="A38" s="419" t="s">
        <v>1254</v>
      </c>
      <c r="B38" s="419"/>
      <c r="C38" s="419"/>
      <c r="D38" s="419"/>
      <c r="E38" s="419"/>
      <c r="F38" s="419"/>
      <c r="G38" s="14">
        <v>29</v>
      </c>
      <c r="H38" s="18"/>
      <c r="I38" s="235"/>
      <c r="J38" s="235"/>
      <c r="L38" s="2" t="s">
        <v>391</v>
      </c>
    </row>
    <row r="39" spans="1:12" s="2" customFormat="1" ht="13.5" customHeight="1">
      <c r="A39" s="419" t="s">
        <v>1255</v>
      </c>
      <c r="B39" s="419"/>
      <c r="C39" s="419"/>
      <c r="D39" s="419"/>
      <c r="E39" s="419"/>
      <c r="F39" s="419"/>
      <c r="G39" s="14">
        <v>30</v>
      </c>
      <c r="H39" s="18"/>
      <c r="I39" s="235"/>
      <c r="J39" s="235"/>
      <c r="L39" s="2" t="s">
        <v>391</v>
      </c>
    </row>
    <row r="40" spans="1:10" s="2" customFormat="1" ht="13.5" customHeight="1">
      <c r="A40" s="419" t="s">
        <v>1256</v>
      </c>
      <c r="B40" s="419"/>
      <c r="C40" s="419"/>
      <c r="D40" s="419"/>
      <c r="E40" s="419"/>
      <c r="F40" s="419"/>
      <c r="G40" s="14">
        <v>31</v>
      </c>
      <c r="H40" s="18"/>
      <c r="I40" s="235"/>
      <c r="J40" s="235"/>
    </row>
    <row r="41" spans="1:12" s="2" customFormat="1" ht="13.5" customHeight="1">
      <c r="A41" s="419" t="s">
        <v>1882</v>
      </c>
      <c r="B41" s="419"/>
      <c r="C41" s="419"/>
      <c r="D41" s="419"/>
      <c r="E41" s="419"/>
      <c r="F41" s="419"/>
      <c r="G41" s="14">
        <v>32</v>
      </c>
      <c r="H41" s="18"/>
      <c r="I41" s="235"/>
      <c r="J41" s="235"/>
      <c r="L41" s="2" t="s">
        <v>391</v>
      </c>
    </row>
    <row r="42" spans="1:12" s="2" customFormat="1" ht="13.5" customHeight="1">
      <c r="A42" s="414" t="s">
        <v>2380</v>
      </c>
      <c r="B42" s="414"/>
      <c r="C42" s="414"/>
      <c r="D42" s="414"/>
      <c r="E42" s="414"/>
      <c r="F42" s="414"/>
      <c r="G42" s="14">
        <v>33</v>
      </c>
      <c r="H42" s="18"/>
      <c r="I42" s="238">
        <f>ROUND(SUM(I37:I41),2)</f>
        <v>0</v>
      </c>
      <c r="J42" s="238">
        <f>ROUND(SUM(J37:J41),2)</f>
        <v>0</v>
      </c>
      <c r="L42" s="2" t="s">
        <v>391</v>
      </c>
    </row>
    <row r="43" spans="1:10" s="2" customFormat="1" ht="13.5" customHeight="1">
      <c r="A43" s="463" t="s">
        <v>641</v>
      </c>
      <c r="B43" s="463"/>
      <c r="C43" s="463"/>
      <c r="D43" s="463"/>
      <c r="E43" s="463"/>
      <c r="F43" s="463"/>
      <c r="G43" s="16">
        <v>34</v>
      </c>
      <c r="H43" s="19"/>
      <c r="I43" s="239">
        <f>ROUND(I36+I42,2)</f>
        <v>0</v>
      </c>
      <c r="J43" s="239">
        <f>ROUND(J36+J42,2)</f>
        <v>0</v>
      </c>
    </row>
    <row r="44" spans="1:10" s="2" customFormat="1" ht="15" customHeight="1">
      <c r="A44" s="457" t="s">
        <v>2381</v>
      </c>
      <c r="B44" s="458"/>
      <c r="C44" s="458"/>
      <c r="D44" s="458"/>
      <c r="E44" s="458"/>
      <c r="F44" s="458"/>
      <c r="G44" s="458"/>
      <c r="H44" s="458"/>
      <c r="I44" s="458"/>
      <c r="J44" s="458"/>
    </row>
    <row r="45" spans="1:12" s="2" customFormat="1" ht="13.5" customHeight="1">
      <c r="A45" s="419" t="s">
        <v>2384</v>
      </c>
      <c r="B45" s="419"/>
      <c r="C45" s="419"/>
      <c r="D45" s="419"/>
      <c r="E45" s="419"/>
      <c r="F45" s="419"/>
      <c r="G45" s="14">
        <v>35</v>
      </c>
      <c r="H45" s="18"/>
      <c r="I45" s="235"/>
      <c r="J45" s="235"/>
      <c r="L45" s="2" t="s">
        <v>1674</v>
      </c>
    </row>
    <row r="46" spans="1:12" s="2" customFormat="1" ht="13.5" customHeight="1">
      <c r="A46" s="419" t="s">
        <v>2385</v>
      </c>
      <c r="B46" s="419"/>
      <c r="C46" s="419"/>
      <c r="D46" s="419"/>
      <c r="E46" s="419"/>
      <c r="F46" s="419"/>
      <c r="G46" s="14">
        <v>36</v>
      </c>
      <c r="H46" s="18"/>
      <c r="I46" s="235"/>
      <c r="J46" s="235"/>
      <c r="L46" s="2" t="s">
        <v>1674</v>
      </c>
    </row>
    <row r="47" spans="1:12" s="2" customFormat="1" ht="13.5" customHeight="1">
      <c r="A47" s="419" t="s">
        <v>2386</v>
      </c>
      <c r="B47" s="419"/>
      <c r="C47" s="419"/>
      <c r="D47" s="419"/>
      <c r="E47" s="419"/>
      <c r="F47" s="419"/>
      <c r="G47" s="14">
        <v>37</v>
      </c>
      <c r="H47" s="18"/>
      <c r="I47" s="235"/>
      <c r="J47" s="235"/>
      <c r="L47" s="2" t="s">
        <v>1674</v>
      </c>
    </row>
    <row r="48" spans="1:12" s="2" customFormat="1" ht="13.5" customHeight="1">
      <c r="A48" s="419" t="s">
        <v>2387</v>
      </c>
      <c r="B48" s="419"/>
      <c r="C48" s="419"/>
      <c r="D48" s="419"/>
      <c r="E48" s="419"/>
      <c r="F48" s="419"/>
      <c r="G48" s="14">
        <v>38</v>
      </c>
      <c r="H48" s="18"/>
      <c r="I48" s="235"/>
      <c r="J48" s="235"/>
      <c r="L48" s="2" t="s">
        <v>1674</v>
      </c>
    </row>
    <row r="49" spans="1:12" s="2" customFormat="1" ht="13.5" customHeight="1">
      <c r="A49" s="414" t="s">
        <v>2020</v>
      </c>
      <c r="B49" s="414"/>
      <c r="C49" s="414"/>
      <c r="D49" s="414"/>
      <c r="E49" s="414"/>
      <c r="F49" s="414"/>
      <c r="G49" s="14">
        <v>39</v>
      </c>
      <c r="H49" s="18"/>
      <c r="I49" s="238">
        <f>ROUND(SUM(I45:I48),2)</f>
        <v>0</v>
      </c>
      <c r="J49" s="238">
        <f>ROUND(SUM(J45:J48),2)</f>
        <v>0</v>
      </c>
      <c r="L49" s="2" t="s">
        <v>1674</v>
      </c>
    </row>
    <row r="50" spans="1:12" s="2" customFormat="1" ht="24.75" customHeight="1">
      <c r="A50" s="419" t="s">
        <v>2501</v>
      </c>
      <c r="B50" s="419"/>
      <c r="C50" s="419"/>
      <c r="D50" s="419"/>
      <c r="E50" s="419"/>
      <c r="F50" s="419"/>
      <c r="G50" s="14">
        <v>40</v>
      </c>
      <c r="H50" s="18"/>
      <c r="I50" s="235"/>
      <c r="J50" s="235"/>
      <c r="L50" s="2" t="s">
        <v>391</v>
      </c>
    </row>
    <row r="51" spans="1:12" s="2" customFormat="1" ht="13.5" customHeight="1">
      <c r="A51" s="419" t="s">
        <v>2991</v>
      </c>
      <c r="B51" s="419"/>
      <c r="C51" s="419"/>
      <c r="D51" s="419"/>
      <c r="E51" s="419"/>
      <c r="F51" s="419"/>
      <c r="G51" s="14">
        <v>41</v>
      </c>
      <c r="H51" s="18"/>
      <c r="I51" s="235"/>
      <c r="J51" s="235"/>
      <c r="L51" s="2" t="s">
        <v>391</v>
      </c>
    </row>
    <row r="52" spans="1:12" s="2" customFormat="1" ht="13.5" customHeight="1">
      <c r="A52" s="419" t="s">
        <v>2992</v>
      </c>
      <c r="B52" s="419"/>
      <c r="C52" s="419"/>
      <c r="D52" s="419"/>
      <c r="E52" s="419"/>
      <c r="F52" s="419"/>
      <c r="G52" s="14">
        <v>42</v>
      </c>
      <c r="H52" s="18"/>
      <c r="I52" s="235"/>
      <c r="J52" s="235"/>
      <c r="L52" s="2" t="s">
        <v>391</v>
      </c>
    </row>
    <row r="53" spans="1:12" s="2" customFormat="1" ht="13.5" customHeight="1">
      <c r="A53" s="419" t="s">
        <v>2502</v>
      </c>
      <c r="B53" s="419"/>
      <c r="C53" s="419"/>
      <c r="D53" s="419"/>
      <c r="E53" s="419"/>
      <c r="F53" s="419"/>
      <c r="G53" s="14">
        <v>43</v>
      </c>
      <c r="H53" s="18"/>
      <c r="I53" s="235"/>
      <c r="J53" s="235"/>
      <c r="L53" s="2" t="s">
        <v>391</v>
      </c>
    </row>
    <row r="54" spans="1:12" s="2" customFormat="1" ht="13.5" customHeight="1">
      <c r="A54" s="419" t="s">
        <v>1541</v>
      </c>
      <c r="B54" s="419"/>
      <c r="C54" s="419"/>
      <c r="D54" s="419"/>
      <c r="E54" s="419"/>
      <c r="F54" s="419"/>
      <c r="G54" s="14">
        <v>44</v>
      </c>
      <c r="H54" s="18"/>
      <c r="I54" s="235"/>
      <c r="J54" s="235"/>
      <c r="L54" s="2" t="s">
        <v>391</v>
      </c>
    </row>
    <row r="55" spans="1:12" s="2" customFormat="1" ht="13.5" customHeight="1">
      <c r="A55" s="414" t="s">
        <v>1542</v>
      </c>
      <c r="B55" s="414"/>
      <c r="C55" s="414"/>
      <c r="D55" s="414"/>
      <c r="E55" s="414"/>
      <c r="F55" s="414"/>
      <c r="G55" s="14">
        <v>45</v>
      </c>
      <c r="H55" s="18"/>
      <c r="I55" s="238">
        <f>ROUND(SUM(I50:I54),2)</f>
        <v>0</v>
      </c>
      <c r="J55" s="238">
        <f>ROUND(SUM(J50:J54),2)</f>
        <v>0</v>
      </c>
      <c r="L55" s="2" t="s">
        <v>391</v>
      </c>
    </row>
    <row r="56" spans="1:10" s="2" customFormat="1" ht="13.5" customHeight="1">
      <c r="A56" s="416" t="s">
        <v>826</v>
      </c>
      <c r="B56" s="416"/>
      <c r="C56" s="416"/>
      <c r="D56" s="416"/>
      <c r="E56" s="416"/>
      <c r="F56" s="416"/>
      <c r="G56" s="14">
        <v>46</v>
      </c>
      <c r="H56" s="18"/>
      <c r="I56" s="238">
        <f>ROUND(I49+I55,2)</f>
        <v>0</v>
      </c>
      <c r="J56" s="238">
        <f>ROUND(J49+J55,2)</f>
        <v>0</v>
      </c>
    </row>
    <row r="57" spans="1:10" s="2" customFormat="1" ht="13.5" customHeight="1">
      <c r="A57" s="393" t="s">
        <v>2382</v>
      </c>
      <c r="B57" s="393"/>
      <c r="C57" s="393"/>
      <c r="D57" s="393"/>
      <c r="E57" s="393"/>
      <c r="F57" s="393"/>
      <c r="G57" s="14">
        <v>47</v>
      </c>
      <c r="H57" s="18"/>
      <c r="I57" s="235"/>
      <c r="J57" s="235"/>
    </row>
    <row r="58" spans="1:10" s="2" customFormat="1" ht="13.5" customHeight="1">
      <c r="A58" s="416" t="s">
        <v>2500</v>
      </c>
      <c r="B58" s="416"/>
      <c r="C58" s="416"/>
      <c r="D58" s="416"/>
      <c r="E58" s="416"/>
      <c r="F58" s="416"/>
      <c r="G58" s="14">
        <v>48</v>
      </c>
      <c r="H58" s="18"/>
      <c r="I58" s="238">
        <f>ROUND(I28+I43+I56+I57,2)</f>
        <v>0</v>
      </c>
      <c r="J58" s="238">
        <f>ROUND(J28+J43+J56+J57,2)</f>
        <v>0</v>
      </c>
    </row>
    <row r="59" spans="1:12" s="2" customFormat="1" ht="13.5" customHeight="1">
      <c r="A59" s="416" t="s">
        <v>2383</v>
      </c>
      <c r="B59" s="416"/>
      <c r="C59" s="416"/>
      <c r="D59" s="416"/>
      <c r="E59" s="416"/>
      <c r="F59" s="416"/>
      <c r="G59" s="14">
        <v>49</v>
      </c>
      <c r="H59" s="18"/>
      <c r="I59" s="235"/>
      <c r="J59" s="235"/>
      <c r="L59" s="2" t="s">
        <v>1674</v>
      </c>
    </row>
    <row r="60" spans="1:18" s="2" customFormat="1" ht="13.5" customHeight="1">
      <c r="A60" s="463" t="s">
        <v>2499</v>
      </c>
      <c r="B60" s="463"/>
      <c r="C60" s="463"/>
      <c r="D60" s="463"/>
      <c r="E60" s="463"/>
      <c r="F60" s="463"/>
      <c r="G60" s="16">
        <v>50</v>
      </c>
      <c r="H60" s="19"/>
      <c r="I60" s="239">
        <f>ROUND(I59+I58,2)</f>
        <v>0</v>
      </c>
      <c r="J60" s="239">
        <f>ROUND(J59+J58,2)</f>
        <v>0</v>
      </c>
      <c r="L60" s="2" t="s">
        <v>1674</v>
      </c>
      <c r="Q60" s="70"/>
      <c r="R60" s="70"/>
    </row>
    <row r="61" spans="15:16" ht="4.5" customHeight="1">
      <c r="O61" s="2"/>
      <c r="P61" s="2"/>
    </row>
    <row r="62" spans="15:16" ht="12" hidden="1">
      <c r="O62" s="2"/>
      <c r="P62" s="2"/>
    </row>
  </sheetData>
  <sheetProtection password="C79A" sheet="1" objects="1" scenarios="1"/>
  <mergeCells count="59">
    <mergeCell ref="A49:F49"/>
    <mergeCell ref="A47:F47"/>
    <mergeCell ref="A60:F60"/>
    <mergeCell ref="A52:F52"/>
    <mergeCell ref="A53:F53"/>
    <mergeCell ref="A55:F55"/>
    <mergeCell ref="A59:F59"/>
    <mergeCell ref="A56:F56"/>
    <mergeCell ref="A58:F58"/>
    <mergeCell ref="A57:F57"/>
    <mergeCell ref="A54:F54"/>
    <mergeCell ref="A31:F31"/>
    <mergeCell ref="A27:F27"/>
    <mergeCell ref="A38:F38"/>
    <mergeCell ref="A46:F46"/>
    <mergeCell ref="A36:F36"/>
    <mergeCell ref="A41:F41"/>
    <mergeCell ref="A37:F37"/>
    <mergeCell ref="A40:F40"/>
    <mergeCell ref="A44:J44"/>
    <mergeCell ref="A43:F43"/>
    <mergeCell ref="A30:F30"/>
    <mergeCell ref="A29:J29"/>
    <mergeCell ref="A13:F13"/>
    <mergeCell ref="A14:F14"/>
    <mergeCell ref="A21:F21"/>
    <mergeCell ref="A22:F22"/>
    <mergeCell ref="A26:F26"/>
    <mergeCell ref="A28:F28"/>
    <mergeCell ref="A23:F23"/>
    <mergeCell ref="A51:F51"/>
    <mergeCell ref="A39:F39"/>
    <mergeCell ref="A32:F32"/>
    <mergeCell ref="A35:F35"/>
    <mergeCell ref="A33:F33"/>
    <mergeCell ref="A34:F34"/>
    <mergeCell ref="A48:F48"/>
    <mergeCell ref="A50:F50"/>
    <mergeCell ref="A42:F42"/>
    <mergeCell ref="A45:F45"/>
    <mergeCell ref="A24:F24"/>
    <mergeCell ref="A25:F25"/>
    <mergeCell ref="A20:F20"/>
    <mergeCell ref="A5:I5"/>
    <mergeCell ref="A10:F10"/>
    <mergeCell ref="A18:F18"/>
    <mergeCell ref="A19:F19"/>
    <mergeCell ref="A9:F9"/>
    <mergeCell ref="A15:F15"/>
    <mergeCell ref="A16:F16"/>
    <mergeCell ref="A17:F17"/>
    <mergeCell ref="A11:F11"/>
    <mergeCell ref="A12:F12"/>
    <mergeCell ref="J2:J3"/>
    <mergeCell ref="A2:I2"/>
    <mergeCell ref="A3:I3"/>
    <mergeCell ref="A8:J8"/>
    <mergeCell ref="A6:F6"/>
    <mergeCell ref="A7:F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0" activePane="bottomLeft" state="frozen"/>
      <selection pane="topLeft" activeCell="A1" sqref="A1"/>
      <selection pane="bottomLeft" activeCell="J31" sqref="J31"/>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1</v>
      </c>
      <c r="R1" s="63" t="s">
        <v>1705</v>
      </c>
    </row>
    <row r="2" spans="1:18" s="2" customFormat="1" ht="19.5" customHeight="1">
      <c r="A2" s="445" t="s">
        <v>285</v>
      </c>
      <c r="B2" s="446"/>
      <c r="C2" s="446"/>
      <c r="D2" s="446"/>
      <c r="E2" s="446"/>
      <c r="F2" s="446"/>
      <c r="G2" s="446"/>
      <c r="H2" s="446"/>
      <c r="I2" s="447"/>
      <c r="J2" s="398" t="s">
        <v>395</v>
      </c>
      <c r="Q2" s="64">
        <f>IF(OR(MIN(I8:I54)&lt;0,MAX(I8:I54)&gt;0),1,0)</f>
        <v>1</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0"/>
      <c r="J3" s="451"/>
      <c r="Q3" s="64">
        <f>IF(OR(MIN(J8:J54)&lt;0,MAX(J8:J54)&gt;0),1,0)</f>
        <v>1</v>
      </c>
      <c r="R3" s="63" t="s">
        <v>387</v>
      </c>
    </row>
    <row r="4" spans="1:9" s="2" customFormat="1" ht="4.5" customHeight="1">
      <c r="A4" s="101"/>
      <c r="B4" s="102"/>
      <c r="C4" s="102"/>
      <c r="D4" s="102"/>
      <c r="E4" s="102"/>
      <c r="F4" s="102"/>
      <c r="G4" s="102"/>
      <c r="H4" s="102"/>
      <c r="I4" s="103"/>
    </row>
    <row r="5" spans="1:10" s="2" customFormat="1" ht="15" customHeight="1">
      <c r="A5" s="431" t="str">
        <f>"Obveznik: "&amp;IF(RefStr!C27&lt;&gt;"",RefStr!C27,"________")&amp;"; "&amp;IF(RefStr!C29&lt;&gt;"",RefStr!C29,"________________________________________"&amp;"; "&amp;IF(RefStr!F31&lt;&gt;"",RefStr!F31,"_______________"))</f>
        <v>Obveznik: 06374155285; MON PERIN D.D.</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2" s="2" customFormat="1" ht="13.5" customHeight="1">
      <c r="A9" s="393" t="s">
        <v>2834</v>
      </c>
      <c r="B9" s="393"/>
      <c r="C9" s="393"/>
      <c r="D9" s="393"/>
      <c r="E9" s="393"/>
      <c r="F9" s="393"/>
      <c r="G9" s="14">
        <v>1</v>
      </c>
      <c r="H9" s="18"/>
      <c r="I9" s="235">
        <v>11149164.11</v>
      </c>
      <c r="J9" s="235">
        <f>16102098.38+60.16-29675.66+2618.93-100000</f>
        <v>15975101.81</v>
      </c>
      <c r="L9" s="2" t="s">
        <v>1674</v>
      </c>
    </row>
    <row r="10" spans="1:12" s="2" customFormat="1" ht="13.5" customHeight="1">
      <c r="A10" s="393" t="s">
        <v>2835</v>
      </c>
      <c r="B10" s="393"/>
      <c r="C10" s="393"/>
      <c r="D10" s="393"/>
      <c r="E10" s="393"/>
      <c r="F10" s="393"/>
      <c r="G10" s="14">
        <v>2</v>
      </c>
      <c r="H10" s="18"/>
      <c r="I10" s="235">
        <v>30105.91</v>
      </c>
      <c r="J10" s="235">
        <v>29675.66</v>
      </c>
      <c r="L10" s="2" t="s">
        <v>1674</v>
      </c>
    </row>
    <row r="11" spans="1:12" s="2" customFormat="1" ht="13.5" customHeight="1">
      <c r="A11" s="393" t="s">
        <v>2836</v>
      </c>
      <c r="B11" s="393"/>
      <c r="C11" s="393"/>
      <c r="D11" s="393"/>
      <c r="E11" s="393"/>
      <c r="F11" s="393"/>
      <c r="G11" s="14">
        <v>3</v>
      </c>
      <c r="H11" s="18"/>
      <c r="I11" s="235">
        <v>23598.25</v>
      </c>
      <c r="J11" s="235">
        <v>4022.2</v>
      </c>
      <c r="L11" s="2" t="s">
        <v>1674</v>
      </c>
    </row>
    <row r="12" spans="1:12" s="2" customFormat="1" ht="13.5" customHeight="1">
      <c r="A12" s="393" t="s">
        <v>2837</v>
      </c>
      <c r="B12" s="393"/>
      <c r="C12" s="393"/>
      <c r="D12" s="393"/>
      <c r="E12" s="393"/>
      <c r="F12" s="393"/>
      <c r="G12" s="14">
        <v>4</v>
      </c>
      <c r="H12" s="18"/>
      <c r="I12" s="235">
        <v>682352.51</v>
      </c>
      <c r="J12" s="235">
        <f>1026443.4+1335.68+527.04+33.18</f>
        <v>1028339.3000000002</v>
      </c>
      <c r="L12" s="2" t="s">
        <v>1674</v>
      </c>
    </row>
    <row r="13" spans="1:12" s="2" customFormat="1" ht="13.5" customHeight="1">
      <c r="A13" s="393" t="s">
        <v>2838</v>
      </c>
      <c r="B13" s="393"/>
      <c r="C13" s="393"/>
      <c r="D13" s="393"/>
      <c r="E13" s="393"/>
      <c r="F13" s="393"/>
      <c r="G13" s="14">
        <v>5</v>
      </c>
      <c r="H13" s="18"/>
      <c r="I13" s="235">
        <v>5225.16</v>
      </c>
      <c r="J13" s="235">
        <f>57478.01+0.28</f>
        <v>57478.29</v>
      </c>
      <c r="L13" s="2" t="s">
        <v>1674</v>
      </c>
    </row>
    <row r="14" spans="1:12" s="2" customFormat="1" ht="13.5" customHeight="1">
      <c r="A14" s="414" t="s">
        <v>2839</v>
      </c>
      <c r="B14" s="393"/>
      <c r="C14" s="393"/>
      <c r="D14" s="393"/>
      <c r="E14" s="393"/>
      <c r="F14" s="393"/>
      <c r="G14" s="14">
        <v>6</v>
      </c>
      <c r="H14" s="18"/>
      <c r="I14" s="238">
        <f>ROUND(SUM(I9:I13),2)</f>
        <v>11890445.94</v>
      </c>
      <c r="J14" s="238">
        <f>ROUND(SUM(J9:J13),2)</f>
        <v>17094617.26</v>
      </c>
      <c r="L14" s="2" t="s">
        <v>1674</v>
      </c>
    </row>
    <row r="15" spans="1:12" s="2" customFormat="1" ht="13.5" customHeight="1">
      <c r="A15" s="393" t="s">
        <v>2840</v>
      </c>
      <c r="B15" s="393"/>
      <c r="C15" s="393"/>
      <c r="D15" s="393"/>
      <c r="E15" s="393"/>
      <c r="F15" s="393"/>
      <c r="G15" s="14">
        <v>7</v>
      </c>
      <c r="H15" s="18"/>
      <c r="I15" s="235">
        <v>-4921189.73</v>
      </c>
      <c r="J15" s="235">
        <f>-8456975.82+9432.21+65261.55+2012898.87+38360-2.33-2680.24-342.28+123755</f>
        <v>-6210293.04</v>
      </c>
      <c r="L15" s="2" t="s">
        <v>391</v>
      </c>
    </row>
    <row r="16" spans="1:12" s="2" customFormat="1" ht="13.5" customHeight="1">
      <c r="A16" s="393" t="s">
        <v>2841</v>
      </c>
      <c r="B16" s="393"/>
      <c r="C16" s="393"/>
      <c r="D16" s="393"/>
      <c r="E16" s="393"/>
      <c r="F16" s="393"/>
      <c r="G16" s="14">
        <v>8</v>
      </c>
      <c r="H16" s="18"/>
      <c r="I16" s="235">
        <v>-458587.43</v>
      </c>
      <c r="J16" s="235">
        <v>-623043.57</v>
      </c>
      <c r="L16" s="2" t="s">
        <v>391</v>
      </c>
    </row>
    <row r="17" spans="1:12" s="2" customFormat="1" ht="13.5" customHeight="1">
      <c r="A17" s="393" t="s">
        <v>2842</v>
      </c>
      <c r="B17" s="393"/>
      <c r="C17" s="393"/>
      <c r="D17" s="393"/>
      <c r="E17" s="393"/>
      <c r="F17" s="393"/>
      <c r="G17" s="14">
        <v>9</v>
      </c>
      <c r="H17" s="18"/>
      <c r="I17" s="235">
        <v>-42616.1</v>
      </c>
      <c r="J17" s="235">
        <v>-65261.55</v>
      </c>
      <c r="L17" s="2" t="s">
        <v>391</v>
      </c>
    </row>
    <row r="18" spans="1:12" s="2" customFormat="1" ht="13.5" customHeight="1">
      <c r="A18" s="393" t="s">
        <v>2843</v>
      </c>
      <c r="B18" s="393"/>
      <c r="C18" s="393"/>
      <c r="D18" s="393"/>
      <c r="E18" s="393"/>
      <c r="F18" s="393"/>
      <c r="G18" s="14">
        <v>10</v>
      </c>
      <c r="H18" s="18"/>
      <c r="I18" s="235">
        <v>-94767.01</v>
      </c>
      <c r="J18" s="235">
        <f>-311099.19-37469.29-0.04</f>
        <v>-348568.51999999996</v>
      </c>
      <c r="L18" s="2" t="s">
        <v>391</v>
      </c>
    </row>
    <row r="19" spans="1:12" s="2" customFormat="1" ht="13.5" customHeight="1">
      <c r="A19" s="393" t="s">
        <v>2844</v>
      </c>
      <c r="B19" s="393"/>
      <c r="C19" s="393"/>
      <c r="D19" s="393"/>
      <c r="E19" s="393"/>
      <c r="F19" s="393"/>
      <c r="G19" s="14">
        <v>11</v>
      </c>
      <c r="H19" s="18"/>
      <c r="I19" s="235"/>
      <c r="J19" s="235"/>
      <c r="L19" s="2" t="s">
        <v>391</v>
      </c>
    </row>
    <row r="20" spans="1:12" s="2" customFormat="1" ht="13.5" customHeight="1">
      <c r="A20" s="393" t="s">
        <v>2833</v>
      </c>
      <c r="B20" s="393"/>
      <c r="C20" s="393"/>
      <c r="D20" s="393"/>
      <c r="E20" s="393"/>
      <c r="F20" s="393"/>
      <c r="G20" s="14">
        <v>12</v>
      </c>
      <c r="H20" s="18"/>
      <c r="I20" s="235">
        <v>-1280467.01</v>
      </c>
      <c r="J20" s="235">
        <f>-1842307.29-10236.64-19.41</f>
        <v>-1852563.3399999999</v>
      </c>
      <c r="L20" s="2" t="s">
        <v>391</v>
      </c>
    </row>
    <row r="21" spans="1:12" s="2" customFormat="1" ht="13.5" customHeight="1">
      <c r="A21" s="414" t="s">
        <v>2845</v>
      </c>
      <c r="B21" s="414"/>
      <c r="C21" s="414"/>
      <c r="D21" s="414"/>
      <c r="E21" s="414"/>
      <c r="F21" s="414"/>
      <c r="G21" s="14">
        <v>13</v>
      </c>
      <c r="H21" s="18"/>
      <c r="I21" s="238">
        <f>ROUND(SUM(I15:I20),2)</f>
        <v>-6797627.28</v>
      </c>
      <c r="J21" s="238">
        <f>ROUND(SUM(J15:J20),2)</f>
        <v>-9099730.02</v>
      </c>
      <c r="L21" s="2" t="s">
        <v>391</v>
      </c>
    </row>
    <row r="22" spans="1:10" s="2" customFormat="1" ht="15" customHeight="1">
      <c r="A22" s="463" t="s">
        <v>2406</v>
      </c>
      <c r="B22" s="463"/>
      <c r="C22" s="463"/>
      <c r="D22" s="463"/>
      <c r="E22" s="463"/>
      <c r="F22" s="463"/>
      <c r="G22" s="16">
        <v>14</v>
      </c>
      <c r="H22" s="19"/>
      <c r="I22" s="239">
        <f>ROUND(I14+I21,2)</f>
        <v>5092818.66</v>
      </c>
      <c r="J22" s="239">
        <f>ROUND(J14+J21,2)</f>
        <v>7994887.24</v>
      </c>
    </row>
    <row r="23" spans="1:10" s="2" customFormat="1" ht="13.5" customHeight="1">
      <c r="A23" s="457" t="s">
        <v>1880</v>
      </c>
      <c r="B23" s="458"/>
      <c r="C23" s="458"/>
      <c r="D23" s="458"/>
      <c r="E23" s="458"/>
      <c r="F23" s="458"/>
      <c r="G23" s="458"/>
      <c r="H23" s="458"/>
      <c r="I23" s="458"/>
      <c r="J23" s="458"/>
    </row>
    <row r="24" spans="1:12" s="2" customFormat="1" ht="15" customHeight="1">
      <c r="A24" s="419" t="s">
        <v>1812</v>
      </c>
      <c r="B24" s="419"/>
      <c r="C24" s="419"/>
      <c r="D24" s="419"/>
      <c r="E24" s="419"/>
      <c r="F24" s="419"/>
      <c r="G24" s="14">
        <v>15</v>
      </c>
      <c r="H24" s="18"/>
      <c r="I24" s="235">
        <v>48087.6</v>
      </c>
      <c r="J24" s="235">
        <v>100000</v>
      </c>
      <c r="L24" s="2" t="s">
        <v>1674</v>
      </c>
    </row>
    <row r="25" spans="1:12" s="2" customFormat="1" ht="13.5" customHeight="1">
      <c r="A25" s="419" t="s">
        <v>1813</v>
      </c>
      <c r="B25" s="419"/>
      <c r="C25" s="419"/>
      <c r="D25" s="419"/>
      <c r="E25" s="419"/>
      <c r="F25" s="419"/>
      <c r="G25" s="14">
        <v>16</v>
      </c>
      <c r="H25" s="18"/>
      <c r="I25" s="235"/>
      <c r="J25" s="235"/>
      <c r="L25" s="2" t="s">
        <v>1674</v>
      </c>
    </row>
    <row r="26" spans="1:12" s="2" customFormat="1" ht="13.5" customHeight="1">
      <c r="A26" s="419" t="s">
        <v>1814</v>
      </c>
      <c r="B26" s="419"/>
      <c r="C26" s="419"/>
      <c r="D26" s="419"/>
      <c r="E26" s="419"/>
      <c r="F26" s="419"/>
      <c r="G26" s="14">
        <v>17</v>
      </c>
      <c r="H26" s="18"/>
      <c r="I26" s="235">
        <v>9420.4</v>
      </c>
      <c r="J26" s="235">
        <f>31053.59+41.55</f>
        <v>31095.14</v>
      </c>
      <c r="L26" s="2" t="s">
        <v>1674</v>
      </c>
    </row>
    <row r="27" spans="1:12" s="2" customFormat="1" ht="13.5" customHeight="1">
      <c r="A27" s="419" t="s">
        <v>720</v>
      </c>
      <c r="B27" s="419"/>
      <c r="C27" s="419"/>
      <c r="D27" s="419"/>
      <c r="E27" s="419"/>
      <c r="F27" s="419"/>
      <c r="G27" s="14">
        <v>18</v>
      </c>
      <c r="H27" s="18"/>
      <c r="I27" s="235">
        <v>449497.51</v>
      </c>
      <c r="J27" s="235">
        <v>513075.16</v>
      </c>
      <c r="L27" s="2" t="s">
        <v>1674</v>
      </c>
    </row>
    <row r="28" spans="1:12" s="2" customFormat="1" ht="13.5" customHeight="1">
      <c r="A28" s="419" t="s">
        <v>31</v>
      </c>
      <c r="B28" s="419"/>
      <c r="C28" s="419"/>
      <c r="D28" s="419"/>
      <c r="E28" s="419"/>
      <c r="F28" s="419"/>
      <c r="G28" s="14">
        <v>19</v>
      </c>
      <c r="H28" s="18"/>
      <c r="I28" s="235">
        <v>1679814.19</v>
      </c>
      <c r="J28" s="235">
        <v>8150228.56</v>
      </c>
      <c r="L28" s="2" t="s">
        <v>1674</v>
      </c>
    </row>
    <row r="29" spans="1:12" s="2" customFormat="1" ht="13.5" customHeight="1">
      <c r="A29" s="419" t="s">
        <v>719</v>
      </c>
      <c r="B29" s="419"/>
      <c r="C29" s="419"/>
      <c r="D29" s="419"/>
      <c r="E29" s="419"/>
      <c r="F29" s="419"/>
      <c r="G29" s="14">
        <v>20</v>
      </c>
      <c r="H29" s="18"/>
      <c r="I29" s="235"/>
      <c r="J29" s="235"/>
      <c r="L29" s="2" t="s">
        <v>1674</v>
      </c>
    </row>
    <row r="30" spans="1:12" s="2" customFormat="1" ht="15" customHeight="1">
      <c r="A30" s="414" t="s">
        <v>2846</v>
      </c>
      <c r="B30" s="414"/>
      <c r="C30" s="414"/>
      <c r="D30" s="414"/>
      <c r="E30" s="414"/>
      <c r="F30" s="414"/>
      <c r="G30" s="14">
        <v>21</v>
      </c>
      <c r="H30" s="18"/>
      <c r="I30" s="238">
        <f>ROUND(SUM(I24:I29),2)</f>
        <v>2186819.7</v>
      </c>
      <c r="J30" s="238">
        <f>ROUND(SUM(J24:J29),2)</f>
        <v>8794398.86</v>
      </c>
      <c r="L30" s="2" t="s">
        <v>1674</v>
      </c>
    </row>
    <row r="31" spans="1:12" s="2" customFormat="1" ht="15" customHeight="1">
      <c r="A31" s="419" t="s">
        <v>32</v>
      </c>
      <c r="B31" s="419"/>
      <c r="C31" s="419"/>
      <c r="D31" s="419"/>
      <c r="E31" s="419"/>
      <c r="F31" s="419"/>
      <c r="G31" s="14">
        <v>22</v>
      </c>
      <c r="H31" s="18"/>
      <c r="I31" s="235">
        <v>-6559624</v>
      </c>
      <c r="J31" s="235">
        <f>-11626268.12-2012898.87-38360-123755</f>
        <v>-13801281.989999998</v>
      </c>
      <c r="L31" s="2" t="s">
        <v>391</v>
      </c>
    </row>
    <row r="32" spans="1:12" s="2" customFormat="1" ht="13.5" customHeight="1">
      <c r="A32" s="419" t="s">
        <v>33</v>
      </c>
      <c r="B32" s="419"/>
      <c r="C32" s="419"/>
      <c r="D32" s="419"/>
      <c r="E32" s="419"/>
      <c r="F32" s="419"/>
      <c r="G32" s="14">
        <v>23</v>
      </c>
      <c r="H32" s="18"/>
      <c r="I32" s="235"/>
      <c r="J32" s="235"/>
      <c r="L32" s="2" t="s">
        <v>391</v>
      </c>
    </row>
    <row r="33" spans="1:12" s="2" customFormat="1" ht="13.5" customHeight="1">
      <c r="A33" s="419" t="s">
        <v>34</v>
      </c>
      <c r="B33" s="419"/>
      <c r="C33" s="419"/>
      <c r="D33" s="419"/>
      <c r="E33" s="419"/>
      <c r="F33" s="419"/>
      <c r="G33" s="14">
        <v>24</v>
      </c>
      <c r="H33" s="18"/>
      <c r="I33" s="235">
        <v>-2593384.3</v>
      </c>
      <c r="J33" s="235">
        <v>-10898142.67</v>
      </c>
      <c r="L33" s="2" t="s">
        <v>391</v>
      </c>
    </row>
    <row r="34" spans="1:10" s="2" customFormat="1" ht="13.5" customHeight="1">
      <c r="A34" s="419" t="s">
        <v>35</v>
      </c>
      <c r="B34" s="419"/>
      <c r="C34" s="419"/>
      <c r="D34" s="419"/>
      <c r="E34" s="419"/>
      <c r="F34" s="419"/>
      <c r="G34" s="14">
        <v>25</v>
      </c>
      <c r="H34" s="18"/>
      <c r="I34" s="235"/>
      <c r="J34" s="235"/>
    </row>
    <row r="35" spans="1:12" s="2" customFormat="1" ht="13.5" customHeight="1">
      <c r="A35" s="419" t="s">
        <v>36</v>
      </c>
      <c r="B35" s="419"/>
      <c r="C35" s="419"/>
      <c r="D35" s="419"/>
      <c r="E35" s="419"/>
      <c r="F35" s="419"/>
      <c r="G35" s="14">
        <v>26</v>
      </c>
      <c r="H35" s="18"/>
      <c r="I35" s="235"/>
      <c r="J35" s="235"/>
      <c r="L35" s="2" t="s">
        <v>391</v>
      </c>
    </row>
    <row r="36" spans="1:12" s="2" customFormat="1" ht="15" customHeight="1">
      <c r="A36" s="414" t="s">
        <v>2847</v>
      </c>
      <c r="B36" s="414"/>
      <c r="C36" s="414"/>
      <c r="D36" s="414"/>
      <c r="E36" s="414"/>
      <c r="F36" s="414"/>
      <c r="G36" s="14">
        <v>27</v>
      </c>
      <c r="H36" s="18"/>
      <c r="I36" s="238">
        <f>ROUND(SUM(I31:I35),2)</f>
        <v>-9153008.3</v>
      </c>
      <c r="J36" s="238">
        <f>ROUND(SUM(J31:J35),2)</f>
        <v>-24699424.66</v>
      </c>
      <c r="L36" s="2" t="s">
        <v>391</v>
      </c>
    </row>
    <row r="37" spans="1:10" s="2" customFormat="1" ht="15" customHeight="1">
      <c r="A37" s="463" t="s">
        <v>2848</v>
      </c>
      <c r="B37" s="463"/>
      <c r="C37" s="463"/>
      <c r="D37" s="463"/>
      <c r="E37" s="463"/>
      <c r="F37" s="463"/>
      <c r="G37" s="16">
        <v>28</v>
      </c>
      <c r="H37" s="19"/>
      <c r="I37" s="239">
        <f>ROUND(I30+I36,2)</f>
        <v>-6966188.6</v>
      </c>
      <c r="J37" s="239">
        <f>ROUND(J30+J36,2)</f>
        <v>-15905025.8</v>
      </c>
    </row>
    <row r="38" spans="1:10" s="2" customFormat="1" ht="13.5" customHeight="1">
      <c r="A38" s="457" t="s">
        <v>2381</v>
      </c>
      <c r="B38" s="458"/>
      <c r="C38" s="458"/>
      <c r="D38" s="458"/>
      <c r="E38" s="458"/>
      <c r="F38" s="458"/>
      <c r="G38" s="458">
        <v>0</v>
      </c>
      <c r="H38" s="458"/>
      <c r="I38" s="458"/>
      <c r="J38" s="458"/>
    </row>
    <row r="39" spans="1:12" s="2" customFormat="1" ht="13.5" customHeight="1">
      <c r="A39" s="393" t="s">
        <v>37</v>
      </c>
      <c r="B39" s="393"/>
      <c r="C39" s="393"/>
      <c r="D39" s="393"/>
      <c r="E39" s="393"/>
      <c r="F39" s="393"/>
      <c r="G39" s="14">
        <v>29</v>
      </c>
      <c r="H39" s="18"/>
      <c r="I39" s="235"/>
      <c r="J39" s="235"/>
      <c r="L39" s="2" t="s">
        <v>1674</v>
      </c>
    </row>
    <row r="40" spans="1:12" s="2" customFormat="1" ht="24.75" customHeight="1">
      <c r="A40" s="393" t="s">
        <v>1678</v>
      </c>
      <c r="B40" s="393"/>
      <c r="C40" s="393"/>
      <c r="D40" s="393"/>
      <c r="E40" s="393"/>
      <c r="F40" s="393"/>
      <c r="G40" s="14">
        <v>30</v>
      </c>
      <c r="H40" s="18"/>
      <c r="I40" s="235"/>
      <c r="J40" s="235"/>
      <c r="L40" s="2" t="s">
        <v>1674</v>
      </c>
    </row>
    <row r="41" spans="1:12" s="2" customFormat="1" ht="13.5" customHeight="1">
      <c r="A41" s="393" t="s">
        <v>1679</v>
      </c>
      <c r="B41" s="393"/>
      <c r="C41" s="393"/>
      <c r="D41" s="393"/>
      <c r="E41" s="393"/>
      <c r="F41" s="393"/>
      <c r="G41" s="14">
        <v>31</v>
      </c>
      <c r="H41" s="18"/>
      <c r="I41" s="235">
        <v>1327228.08</v>
      </c>
      <c r="J41" s="235">
        <v>9999999.89</v>
      </c>
      <c r="L41" s="2" t="s">
        <v>1674</v>
      </c>
    </row>
    <row r="42" spans="1:12" s="2" customFormat="1" ht="13.5" customHeight="1">
      <c r="A42" s="393" t="s">
        <v>1680</v>
      </c>
      <c r="B42" s="393"/>
      <c r="C42" s="393"/>
      <c r="D42" s="393"/>
      <c r="E42" s="393"/>
      <c r="F42" s="393"/>
      <c r="G42" s="14">
        <v>32</v>
      </c>
      <c r="H42" s="18"/>
      <c r="I42" s="235"/>
      <c r="J42" s="235"/>
      <c r="L42" s="2" t="s">
        <v>1674</v>
      </c>
    </row>
    <row r="43" spans="1:12" s="2" customFormat="1" ht="15" customHeight="1">
      <c r="A43" s="414" t="s">
        <v>2849</v>
      </c>
      <c r="B43" s="414"/>
      <c r="C43" s="414"/>
      <c r="D43" s="414"/>
      <c r="E43" s="414"/>
      <c r="F43" s="414"/>
      <c r="G43" s="14">
        <v>33</v>
      </c>
      <c r="H43" s="18"/>
      <c r="I43" s="238">
        <f>ROUND(SUM(I39:I42),2)</f>
        <v>1327228.08</v>
      </c>
      <c r="J43" s="238">
        <f>ROUND(SUM(J39:J42),2)</f>
        <v>9999999.89</v>
      </c>
      <c r="L43" s="2" t="s">
        <v>1674</v>
      </c>
    </row>
    <row r="44" spans="1:12" s="2" customFormat="1" ht="25.5" customHeight="1">
      <c r="A44" s="393" t="s">
        <v>1681</v>
      </c>
      <c r="B44" s="393"/>
      <c r="C44" s="393"/>
      <c r="D44" s="393"/>
      <c r="E44" s="393"/>
      <c r="F44" s="393"/>
      <c r="G44" s="14">
        <v>34</v>
      </c>
      <c r="H44" s="18"/>
      <c r="I44" s="235">
        <v>-228959.98</v>
      </c>
      <c r="J44" s="235">
        <f>-1408365.72+28037.08</f>
        <v>-1380328.64</v>
      </c>
      <c r="L44" s="2" t="s">
        <v>391</v>
      </c>
    </row>
    <row r="45" spans="1:12" s="2" customFormat="1" ht="13.5" customHeight="1">
      <c r="A45" s="393" t="s">
        <v>1682</v>
      </c>
      <c r="B45" s="393"/>
      <c r="C45" s="393"/>
      <c r="D45" s="393"/>
      <c r="E45" s="393"/>
      <c r="F45" s="393"/>
      <c r="G45" s="14">
        <v>35</v>
      </c>
      <c r="H45" s="18"/>
      <c r="I45" s="235">
        <v>-1404174.93</v>
      </c>
      <c r="J45" s="235">
        <v>-1913369.73</v>
      </c>
      <c r="L45" s="2" t="s">
        <v>391</v>
      </c>
    </row>
    <row r="46" spans="1:12" s="2" customFormat="1" ht="13.5" customHeight="1">
      <c r="A46" s="393" t="s">
        <v>1683</v>
      </c>
      <c r="B46" s="393"/>
      <c r="C46" s="393"/>
      <c r="D46" s="393"/>
      <c r="E46" s="393"/>
      <c r="F46" s="393"/>
      <c r="G46" s="14">
        <v>36</v>
      </c>
      <c r="H46" s="18"/>
      <c r="I46" s="235"/>
      <c r="J46" s="235"/>
      <c r="L46" s="2" t="s">
        <v>391</v>
      </c>
    </row>
    <row r="47" spans="1:12" s="2" customFormat="1" ht="25.5" customHeight="1">
      <c r="A47" s="393" t="s">
        <v>1467</v>
      </c>
      <c r="B47" s="393"/>
      <c r="C47" s="393"/>
      <c r="D47" s="393"/>
      <c r="E47" s="393"/>
      <c r="F47" s="393"/>
      <c r="G47" s="14">
        <v>37</v>
      </c>
      <c r="H47" s="18"/>
      <c r="I47" s="235">
        <v>-34827.53</v>
      </c>
      <c r="J47" s="235">
        <v>-39763.36</v>
      </c>
      <c r="L47" s="2" t="s">
        <v>391</v>
      </c>
    </row>
    <row r="48" spans="1:12" s="2" customFormat="1" ht="13.5" customHeight="1">
      <c r="A48" s="393" t="s">
        <v>2896</v>
      </c>
      <c r="B48" s="393"/>
      <c r="C48" s="393"/>
      <c r="D48" s="393"/>
      <c r="E48" s="393"/>
      <c r="F48" s="393"/>
      <c r="G48" s="14">
        <v>38</v>
      </c>
      <c r="H48" s="18"/>
      <c r="I48" s="235"/>
      <c r="J48" s="235"/>
      <c r="L48" s="2" t="s">
        <v>391</v>
      </c>
    </row>
    <row r="49" spans="1:12" s="2" customFormat="1" ht="15" customHeight="1">
      <c r="A49" s="414" t="s">
        <v>2850</v>
      </c>
      <c r="B49" s="414"/>
      <c r="C49" s="414"/>
      <c r="D49" s="414"/>
      <c r="E49" s="414"/>
      <c r="F49" s="414"/>
      <c r="G49" s="14">
        <v>39</v>
      </c>
      <c r="H49" s="18"/>
      <c r="I49" s="238">
        <f>ROUND(SUM(I44:I48),2)</f>
        <v>-1667962.44</v>
      </c>
      <c r="J49" s="238">
        <f>ROUND(SUM(J44:J48),2)</f>
        <v>-3333461.73</v>
      </c>
      <c r="L49" s="2" t="s">
        <v>391</v>
      </c>
    </row>
    <row r="50" spans="1:10" s="2" customFormat="1" ht="15" customHeight="1">
      <c r="A50" s="416" t="s">
        <v>2851</v>
      </c>
      <c r="B50" s="416"/>
      <c r="C50" s="416"/>
      <c r="D50" s="416"/>
      <c r="E50" s="416"/>
      <c r="F50" s="416"/>
      <c r="G50" s="14">
        <v>40</v>
      </c>
      <c r="H50" s="18"/>
      <c r="I50" s="238">
        <f>ROUND(I43+I49,2)</f>
        <v>-340734.36</v>
      </c>
      <c r="J50" s="238">
        <f>ROUND(J43+J49,2)</f>
        <v>6666538.16</v>
      </c>
    </row>
    <row r="51" spans="1:10" s="2" customFormat="1" ht="13.5" customHeight="1">
      <c r="A51" s="419" t="s">
        <v>1815</v>
      </c>
      <c r="B51" s="419"/>
      <c r="C51" s="419"/>
      <c r="D51" s="419"/>
      <c r="E51" s="419"/>
      <c r="F51" s="419"/>
      <c r="G51" s="14">
        <v>41</v>
      </c>
      <c r="H51" s="18"/>
      <c r="I51" s="235"/>
      <c r="J51" s="235"/>
    </row>
    <row r="52" spans="1:10" s="2" customFormat="1" ht="25.5" customHeight="1">
      <c r="A52" s="416" t="s">
        <v>2852</v>
      </c>
      <c r="B52" s="416"/>
      <c r="C52" s="416"/>
      <c r="D52" s="416"/>
      <c r="E52" s="416"/>
      <c r="F52" s="416"/>
      <c r="G52" s="14">
        <v>42</v>
      </c>
      <c r="H52" s="18"/>
      <c r="I52" s="238">
        <f>ROUND(I22+I37+I50+I51,2)</f>
        <v>-2214104.3</v>
      </c>
      <c r="J52" s="238">
        <f>ROUND(J22+J37+J50+J51,2)</f>
        <v>-1243600.4</v>
      </c>
    </row>
    <row r="53" spans="1:12" s="2" customFormat="1" ht="13.5" customHeight="1">
      <c r="A53" s="416" t="s">
        <v>2383</v>
      </c>
      <c r="B53" s="416"/>
      <c r="C53" s="416"/>
      <c r="D53" s="416"/>
      <c r="E53" s="416"/>
      <c r="F53" s="416"/>
      <c r="G53" s="14">
        <v>43</v>
      </c>
      <c r="H53" s="18"/>
      <c r="I53" s="235">
        <v>4183837.66</v>
      </c>
      <c r="J53" s="235">
        <v>1969733.36</v>
      </c>
      <c r="L53" s="2" t="s">
        <v>1674</v>
      </c>
    </row>
    <row r="54" spans="1:12" s="2" customFormat="1" ht="13.5" customHeight="1">
      <c r="A54" s="463" t="s">
        <v>2853</v>
      </c>
      <c r="B54" s="463"/>
      <c r="C54" s="463"/>
      <c r="D54" s="463"/>
      <c r="E54" s="463"/>
      <c r="F54" s="463"/>
      <c r="G54" s="16">
        <v>44</v>
      </c>
      <c r="H54" s="19"/>
      <c r="I54" s="239">
        <f>ROUND(I52+I53,2)</f>
        <v>1969733.36</v>
      </c>
      <c r="J54" s="239">
        <f>ROUND(J52+J53,2)</f>
        <v>726132.96</v>
      </c>
      <c r="L54" s="2" t="s">
        <v>1674</v>
      </c>
    </row>
    <row r="55" ht="4.5" customHeight="1"/>
  </sheetData>
  <sheetProtection password="C79A" sheet="1" objects="1" scenarios="1"/>
  <mergeCells count="53">
    <mergeCell ref="A11:F11"/>
    <mergeCell ref="A12:F12"/>
    <mergeCell ref="A13:F13"/>
    <mergeCell ref="A14:F14"/>
    <mergeCell ref="A15:F15"/>
    <mergeCell ref="A2:I2"/>
    <mergeCell ref="A10:F10"/>
    <mergeCell ref="J2:J3"/>
    <mergeCell ref="A3:I3"/>
    <mergeCell ref="A6:F6"/>
    <mergeCell ref="A7:F7"/>
    <mergeCell ref="A8:J8"/>
    <mergeCell ref="A9:F9"/>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AG66"/>
  <sheetViews>
    <sheetView showGridLines="0" showRowColHeaders="0" zoomScalePageLayoutView="0" workbookViewId="0" topLeftCell="I1">
      <pane ySplit="1" topLeftCell="A38" activePane="bottomLeft" state="frozen"/>
      <selection pane="topLeft" activeCell="A1" sqref="A1"/>
      <selection pane="bottomLeft" activeCell="Y62" sqref="Y62"/>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1</v>
      </c>
      <c r="AD1" s="109" t="s">
        <v>1705</v>
      </c>
    </row>
    <row r="2" spans="1:30" s="3" customFormat="1" ht="19.5" customHeight="1">
      <c r="A2" s="469" t="s">
        <v>2626</v>
      </c>
      <c r="B2" s="469"/>
      <c r="C2" s="469"/>
      <c r="D2" s="469"/>
      <c r="E2" s="469"/>
      <c r="F2" s="469"/>
      <c r="G2" s="470"/>
      <c r="H2" s="470"/>
      <c r="I2" s="110"/>
      <c r="J2" s="110"/>
      <c r="K2" s="110"/>
      <c r="L2" s="110"/>
      <c r="M2" s="110"/>
      <c r="N2" s="110"/>
      <c r="O2" s="111"/>
      <c r="P2" s="398" t="s">
        <v>396</v>
      </c>
      <c r="Q2" s="464"/>
      <c r="R2" s="464"/>
      <c r="S2" s="464"/>
      <c r="T2" s="464"/>
      <c r="U2" s="464"/>
      <c r="V2" s="464"/>
      <c r="W2" s="464"/>
      <c r="X2" s="464"/>
      <c r="Y2" s="465"/>
      <c r="Z2" s="398" t="s">
        <v>396</v>
      </c>
      <c r="AC2" s="3">
        <f>IF(OR(MAX(H10:Z33)&lt;&gt;0,MIN(H10:Z33)&lt;&gt;0),1,0)</f>
        <v>1</v>
      </c>
      <c r="AD2" s="3" t="s">
        <v>398</v>
      </c>
    </row>
    <row r="3" spans="1:30" s="3" customFormat="1" ht="19.5" customHeight="1" thickBot="1">
      <c r="A3" s="473" t="str">
        <f>"za razdoblje od "&amp;IF(RefStr!C4&lt;&gt;"",TEXT(RefStr!C4,"DD.MM.YYYY."),"__.__.____.")&amp;" do "&amp;IF(RefStr!F4&lt;&gt;"",TEXT(RefStr!F4,"DD.MM.YYYY."),"__.__.____.")</f>
        <v>za razdoblje od 01.01.2023. do 31.12.2023.</v>
      </c>
      <c r="B3" s="473"/>
      <c r="C3" s="473"/>
      <c r="D3" s="473"/>
      <c r="E3" s="473"/>
      <c r="F3" s="473"/>
      <c r="G3" s="474"/>
      <c r="H3" s="474"/>
      <c r="I3" s="110"/>
      <c r="J3" s="110"/>
      <c r="K3" s="110"/>
      <c r="L3" s="110"/>
      <c r="M3" s="110"/>
      <c r="N3" s="110"/>
      <c r="O3" s="111"/>
      <c r="P3" s="451"/>
      <c r="Q3" s="464"/>
      <c r="R3" s="464"/>
      <c r="S3" s="464"/>
      <c r="T3" s="464"/>
      <c r="U3" s="464"/>
      <c r="V3" s="464"/>
      <c r="W3" s="464"/>
      <c r="X3" s="464"/>
      <c r="Y3" s="465"/>
      <c r="Z3" s="468"/>
      <c r="AC3" s="3">
        <f>IF(OR(MAX(H39:Z62)&lt;&gt;0,MIN(H39:Z62)&lt;&gt;0),1,0)</f>
        <v>1</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75" t="str">
        <f>"Obveznik: "&amp;IF(RefStr!C27&lt;&gt;"",RefStr!C27,"________")&amp;"; "&amp;IF(RefStr!C29&lt;&gt;"",RefStr!C29,"________________________________________"&amp;"; "&amp;IF(RefStr!F31&lt;&gt;"",RefStr!F31,"_______________"))</f>
        <v>Obveznik: 06374155285; MON PERIN D.D.</v>
      </c>
      <c r="B5" s="476"/>
      <c r="C5" s="476"/>
      <c r="D5" s="476"/>
      <c r="E5" s="476"/>
      <c r="F5" s="476"/>
      <c r="G5" s="476"/>
      <c r="H5" s="476"/>
      <c r="I5" s="476"/>
      <c r="J5" s="476"/>
      <c r="K5" s="476"/>
      <c r="L5" s="476"/>
      <c r="M5" s="476"/>
      <c r="N5" s="476"/>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59" t="s">
        <v>2182</v>
      </c>
      <c r="B6" s="478"/>
      <c r="C6" s="478"/>
      <c r="D6" s="478"/>
      <c r="E6" s="478"/>
      <c r="F6" s="478"/>
      <c r="G6" s="460" t="s">
        <v>2459</v>
      </c>
      <c r="H6" s="407" t="s">
        <v>1936</v>
      </c>
      <c r="I6" s="460" t="s">
        <v>2180</v>
      </c>
      <c r="J6" s="460"/>
      <c r="K6" s="460"/>
      <c r="L6" s="460"/>
      <c r="M6" s="460"/>
      <c r="N6" s="460"/>
      <c r="O6" s="460"/>
      <c r="P6" s="460"/>
      <c r="Q6" s="460"/>
      <c r="R6" s="460"/>
      <c r="S6" s="460"/>
      <c r="T6" s="460"/>
      <c r="U6" s="460"/>
      <c r="V6" s="460"/>
      <c r="W6" s="460"/>
      <c r="X6" s="460"/>
      <c r="Y6" s="460" t="s">
        <v>399</v>
      </c>
      <c r="Z6" s="471" t="s">
        <v>2181</v>
      </c>
      <c r="AC6" s="3">
        <f>IF(OR(MAX(Y39:Y62)&lt;&gt;0,MIN(Y39:Y62)&lt;&gt;0),1,0)</f>
        <v>0</v>
      </c>
      <c r="AD6" s="11" t="s">
        <v>2087</v>
      </c>
    </row>
    <row r="7" spans="1:30" s="3" customFormat="1" ht="67.5" customHeight="1" thickBot="1">
      <c r="A7" s="479"/>
      <c r="B7" s="480"/>
      <c r="C7" s="480"/>
      <c r="D7" s="480"/>
      <c r="E7" s="480"/>
      <c r="F7" s="480"/>
      <c r="G7" s="477"/>
      <c r="H7" s="477"/>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7"/>
      <c r="Z7" s="472"/>
      <c r="AC7" s="3">
        <f>IF(RefStr!N19="MSFI",1,0)</f>
        <v>1</v>
      </c>
      <c r="AD7" s="11" t="s">
        <v>932</v>
      </c>
    </row>
    <row r="8" spans="1:26" s="3" customFormat="1" ht="23.25" customHeight="1">
      <c r="A8" s="488">
        <v>1</v>
      </c>
      <c r="B8" s="489"/>
      <c r="C8" s="489"/>
      <c r="D8" s="489"/>
      <c r="E8" s="489"/>
      <c r="F8" s="489"/>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1" t="s">
        <v>2183</v>
      </c>
      <c r="B9" s="481"/>
      <c r="C9" s="481"/>
      <c r="D9" s="481"/>
      <c r="E9" s="481"/>
      <c r="F9" s="481"/>
      <c r="G9" s="481"/>
      <c r="H9" s="481"/>
      <c r="I9" s="481"/>
      <c r="J9" s="481"/>
      <c r="K9" s="481"/>
      <c r="L9" s="481"/>
      <c r="M9" s="481"/>
      <c r="N9" s="481"/>
      <c r="O9" s="482"/>
      <c r="P9" s="482"/>
      <c r="Q9" s="482"/>
      <c r="R9" s="482"/>
      <c r="S9" s="482"/>
      <c r="T9" s="482"/>
      <c r="U9" s="482"/>
      <c r="V9" s="482"/>
      <c r="W9" s="482"/>
      <c r="X9" s="482"/>
      <c r="Y9" s="482"/>
      <c r="Z9" s="483"/>
      <c r="AD9" s="113"/>
      <c r="AE9" s="114"/>
      <c r="AF9" s="113"/>
      <c r="AG9" s="114"/>
    </row>
    <row r="10" spans="1:33" s="3" customFormat="1" ht="13.5" customHeight="1">
      <c r="A10" s="466" t="s">
        <v>2868</v>
      </c>
      <c r="B10" s="466"/>
      <c r="C10" s="466"/>
      <c r="D10" s="466"/>
      <c r="E10" s="466"/>
      <c r="F10" s="466"/>
      <c r="G10" s="177">
        <v>1</v>
      </c>
      <c r="H10" s="107"/>
      <c r="I10" s="240">
        <v>14165541.18</v>
      </c>
      <c r="J10" s="240">
        <v>11892537.13</v>
      </c>
      <c r="K10" s="240">
        <v>75840.32</v>
      </c>
      <c r="L10" s="240">
        <v>158026.41</v>
      </c>
      <c r="M10" s="240">
        <v>158026.41</v>
      </c>
      <c r="N10" s="240">
        <v>0</v>
      </c>
      <c r="O10" s="240">
        <v>0</v>
      </c>
      <c r="P10" s="240"/>
      <c r="Q10" s="240">
        <v>-1663640.01</v>
      </c>
      <c r="R10" s="240">
        <v>0</v>
      </c>
      <c r="S10" s="240"/>
      <c r="T10" s="240"/>
      <c r="U10" s="240"/>
      <c r="V10" s="240">
        <v>3390891</v>
      </c>
      <c r="W10" s="240">
        <v>0</v>
      </c>
      <c r="X10" s="241">
        <f>ROUND(SUM(I10:L10)-M10+SUM(N10:W10),2)</f>
        <v>27861169.62</v>
      </c>
      <c r="Y10" s="240"/>
      <c r="Z10" s="241">
        <f>ROUND(Y10+X10,2)</f>
        <v>27861169.62</v>
      </c>
      <c r="AD10" s="114"/>
      <c r="AE10" s="114"/>
      <c r="AF10" s="114"/>
      <c r="AG10" s="114"/>
    </row>
    <row r="11" spans="1:33" s="3" customFormat="1" ht="13.5" customHeight="1">
      <c r="A11" s="467" t="s">
        <v>2869</v>
      </c>
      <c r="B11" s="467"/>
      <c r="C11" s="467"/>
      <c r="D11" s="467"/>
      <c r="E11" s="467"/>
      <c r="F11" s="467"/>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7" t="s">
        <v>2870</v>
      </c>
      <c r="B12" s="467"/>
      <c r="C12" s="467"/>
      <c r="D12" s="467"/>
      <c r="E12" s="467"/>
      <c r="F12" s="467"/>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66" t="s">
        <v>2871</v>
      </c>
      <c r="B13" s="466"/>
      <c r="C13" s="466"/>
      <c r="D13" s="466"/>
      <c r="E13" s="466"/>
      <c r="F13" s="466"/>
      <c r="G13" s="177">
        <v>4</v>
      </c>
      <c r="H13" s="107"/>
      <c r="I13" s="241">
        <f>ROUND(SUM(I10:I12),2)</f>
        <v>14165541.18</v>
      </c>
      <c r="J13" s="241">
        <f aca="true" t="shared" si="2" ref="J13:Y13">ROUND(SUM(J10:J12),2)</f>
        <v>11892537.13</v>
      </c>
      <c r="K13" s="241">
        <f t="shared" si="2"/>
        <v>75840.32</v>
      </c>
      <c r="L13" s="241">
        <f t="shared" si="2"/>
        <v>158026.41</v>
      </c>
      <c r="M13" s="241">
        <f t="shared" si="2"/>
        <v>158026.41</v>
      </c>
      <c r="N13" s="241">
        <f t="shared" si="2"/>
        <v>0</v>
      </c>
      <c r="O13" s="241">
        <f t="shared" si="2"/>
        <v>0</v>
      </c>
      <c r="P13" s="241">
        <f t="shared" si="2"/>
        <v>0</v>
      </c>
      <c r="Q13" s="241">
        <f t="shared" si="2"/>
        <v>-1663640.01</v>
      </c>
      <c r="R13" s="241">
        <f t="shared" si="2"/>
        <v>0</v>
      </c>
      <c r="S13" s="241">
        <f t="shared" si="2"/>
        <v>0</v>
      </c>
      <c r="T13" s="241">
        <f t="shared" si="2"/>
        <v>0</v>
      </c>
      <c r="U13" s="241">
        <f t="shared" si="2"/>
        <v>0</v>
      </c>
      <c r="V13" s="241">
        <f t="shared" si="2"/>
        <v>3390891</v>
      </c>
      <c r="W13" s="241">
        <f t="shared" si="2"/>
        <v>0</v>
      </c>
      <c r="X13" s="241">
        <f t="shared" si="0"/>
        <v>27861169.62</v>
      </c>
      <c r="Y13" s="241">
        <f t="shared" si="2"/>
        <v>0</v>
      </c>
      <c r="Z13" s="241">
        <f t="shared" si="1"/>
        <v>27861169.62</v>
      </c>
      <c r="AD13" s="115"/>
      <c r="AE13" s="115"/>
      <c r="AF13" s="115"/>
      <c r="AG13" s="114"/>
    </row>
    <row r="14" spans="1:33" s="3" customFormat="1" ht="13.5" customHeight="1">
      <c r="A14" s="467" t="s">
        <v>2872</v>
      </c>
      <c r="B14" s="467"/>
      <c r="C14" s="467"/>
      <c r="D14" s="467"/>
      <c r="E14" s="467"/>
      <c r="F14" s="467"/>
      <c r="G14" s="177">
        <v>5</v>
      </c>
      <c r="H14" s="107"/>
      <c r="I14" s="242"/>
      <c r="J14" s="242"/>
      <c r="K14" s="242"/>
      <c r="L14" s="242"/>
      <c r="M14" s="242"/>
      <c r="N14" s="242"/>
      <c r="O14" s="242"/>
      <c r="P14" s="242"/>
      <c r="Q14" s="242"/>
      <c r="R14" s="242"/>
      <c r="S14" s="242"/>
      <c r="T14" s="242"/>
      <c r="U14" s="242"/>
      <c r="V14" s="242"/>
      <c r="W14" s="240">
        <v>3196500.12</v>
      </c>
      <c r="X14" s="241">
        <f t="shared" si="0"/>
        <v>3196500.12</v>
      </c>
      <c r="Y14" s="240"/>
      <c r="Z14" s="241">
        <f t="shared" si="1"/>
        <v>3196500.12</v>
      </c>
      <c r="AD14" s="115"/>
      <c r="AE14" s="115"/>
      <c r="AF14" s="115"/>
      <c r="AG14" s="114"/>
    </row>
    <row r="15" spans="1:33" s="3" customFormat="1" ht="13.5" customHeight="1">
      <c r="A15" s="467" t="s">
        <v>2873</v>
      </c>
      <c r="B15" s="467"/>
      <c r="C15" s="467"/>
      <c r="D15" s="467"/>
      <c r="E15" s="467"/>
      <c r="F15" s="467"/>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7" t="s">
        <v>1690</v>
      </c>
      <c r="B16" s="467"/>
      <c r="C16" s="467"/>
      <c r="D16" s="467"/>
      <c r="E16" s="467"/>
      <c r="F16" s="467"/>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7" t="s">
        <v>1691</v>
      </c>
      <c r="B17" s="467"/>
      <c r="C17" s="467"/>
      <c r="D17" s="467"/>
      <c r="E17" s="467"/>
      <c r="F17" s="467"/>
      <c r="G17" s="177">
        <v>8</v>
      </c>
      <c r="H17" s="107"/>
      <c r="I17" s="242"/>
      <c r="J17" s="242"/>
      <c r="K17" s="242"/>
      <c r="L17" s="242"/>
      <c r="M17" s="242"/>
      <c r="N17" s="242"/>
      <c r="O17" s="242"/>
      <c r="P17" s="242"/>
      <c r="Q17" s="240">
        <v>-865067.36</v>
      </c>
      <c r="R17" s="242"/>
      <c r="S17" s="242"/>
      <c r="T17" s="242"/>
      <c r="U17" s="242"/>
      <c r="V17" s="240"/>
      <c r="W17" s="240"/>
      <c r="X17" s="241">
        <f t="shared" si="0"/>
        <v>-865067.36</v>
      </c>
      <c r="Y17" s="240"/>
      <c r="Z17" s="241">
        <f t="shared" si="1"/>
        <v>-865067.36</v>
      </c>
      <c r="AD17" s="116"/>
      <c r="AE17" s="116"/>
      <c r="AF17" s="116"/>
      <c r="AG17" s="114"/>
    </row>
    <row r="18" spans="1:33" s="3" customFormat="1" ht="13.5" customHeight="1">
      <c r="A18" s="467" t="s">
        <v>1692</v>
      </c>
      <c r="B18" s="467"/>
      <c r="C18" s="467"/>
      <c r="D18" s="467"/>
      <c r="E18" s="467"/>
      <c r="F18" s="467"/>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7" t="s">
        <v>2878</v>
      </c>
      <c r="B19" s="467"/>
      <c r="C19" s="467"/>
      <c r="D19" s="467"/>
      <c r="E19" s="467"/>
      <c r="F19" s="467"/>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7" t="s">
        <v>2486</v>
      </c>
      <c r="B20" s="467"/>
      <c r="C20" s="467"/>
      <c r="D20" s="467"/>
      <c r="E20" s="467"/>
      <c r="F20" s="467"/>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7" t="s">
        <v>322</v>
      </c>
      <c r="B21" s="467"/>
      <c r="C21" s="467"/>
      <c r="D21" s="467"/>
      <c r="E21" s="467"/>
      <c r="F21" s="467"/>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7" t="s">
        <v>323</v>
      </c>
      <c r="B22" s="467"/>
      <c r="C22" s="467"/>
      <c r="D22" s="467"/>
      <c r="E22" s="467"/>
      <c r="F22" s="467"/>
      <c r="G22" s="177">
        <v>13</v>
      </c>
      <c r="H22" s="107"/>
      <c r="I22" s="240"/>
      <c r="J22" s="240">
        <v>1852.52</v>
      </c>
      <c r="K22" s="240"/>
      <c r="L22" s="240"/>
      <c r="M22" s="240"/>
      <c r="N22" s="240"/>
      <c r="O22" s="240"/>
      <c r="P22" s="240"/>
      <c r="Q22" s="240"/>
      <c r="R22" s="240"/>
      <c r="S22" s="240"/>
      <c r="T22" s="240"/>
      <c r="U22" s="240"/>
      <c r="V22" s="240">
        <f>464896+0.11</f>
        <v>464896.11</v>
      </c>
      <c r="W22" s="240"/>
      <c r="X22" s="241">
        <f t="shared" si="0"/>
        <v>466748.63</v>
      </c>
      <c r="Y22" s="240"/>
      <c r="Z22" s="241">
        <f t="shared" si="1"/>
        <v>466748.63</v>
      </c>
      <c r="AD22" s="114"/>
      <c r="AE22" s="109"/>
    </row>
    <row r="23" spans="1:31" s="3" customFormat="1" ht="13.5" customHeight="1">
      <c r="A23" s="467" t="s">
        <v>324</v>
      </c>
      <c r="B23" s="467"/>
      <c r="C23" s="467"/>
      <c r="D23" s="467"/>
      <c r="E23" s="467"/>
      <c r="F23" s="467"/>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7" t="s">
        <v>2487</v>
      </c>
      <c r="B24" s="467"/>
      <c r="C24" s="467"/>
      <c r="D24" s="467"/>
      <c r="E24" s="467"/>
      <c r="F24" s="467"/>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7" t="s">
        <v>2498</v>
      </c>
      <c r="B25" s="467"/>
      <c r="C25" s="467"/>
      <c r="D25" s="467"/>
      <c r="E25" s="467"/>
      <c r="F25" s="467"/>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7" t="s">
        <v>2488</v>
      </c>
      <c r="B26" s="467"/>
      <c r="C26" s="467"/>
      <c r="D26" s="467"/>
      <c r="E26" s="467"/>
      <c r="F26" s="467"/>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7" t="s">
        <v>325</v>
      </c>
      <c r="B27" s="467"/>
      <c r="C27" s="467"/>
      <c r="D27" s="467"/>
      <c r="E27" s="467"/>
      <c r="F27" s="467"/>
      <c r="G27" s="177">
        <v>18</v>
      </c>
      <c r="H27" s="107"/>
      <c r="I27" s="240"/>
      <c r="J27" s="240"/>
      <c r="K27" s="240"/>
      <c r="L27" s="240">
        <v>34827.57</v>
      </c>
      <c r="M27" s="240">
        <v>34827.57</v>
      </c>
      <c r="N27" s="240"/>
      <c r="O27" s="240"/>
      <c r="P27" s="240"/>
      <c r="Q27" s="240"/>
      <c r="R27" s="240"/>
      <c r="S27" s="240"/>
      <c r="T27" s="240"/>
      <c r="U27" s="240"/>
      <c r="V27" s="240">
        <v>-34827.57</v>
      </c>
      <c r="W27" s="240"/>
      <c r="X27" s="241">
        <f t="shared" si="0"/>
        <v>-34827.57</v>
      </c>
      <c r="Y27" s="240"/>
      <c r="Z27" s="241">
        <f t="shared" si="1"/>
        <v>-34827.57</v>
      </c>
      <c r="AD27" s="114"/>
    </row>
    <row r="28" spans="1:30" ht="13.5" customHeight="1">
      <c r="A28" s="467" t="s">
        <v>2858</v>
      </c>
      <c r="B28" s="467"/>
      <c r="C28" s="467"/>
      <c r="D28" s="467"/>
      <c r="E28" s="467"/>
      <c r="F28" s="467"/>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7" t="s">
        <v>2859</v>
      </c>
      <c r="B29" s="467"/>
      <c r="C29" s="467"/>
      <c r="D29" s="467"/>
      <c r="E29" s="467"/>
      <c r="F29" s="467"/>
      <c r="G29" s="177">
        <v>20</v>
      </c>
      <c r="H29" s="107"/>
      <c r="I29" s="240"/>
      <c r="J29" s="240"/>
      <c r="K29" s="240"/>
      <c r="L29" s="240"/>
      <c r="M29" s="240"/>
      <c r="N29" s="240"/>
      <c r="O29" s="240"/>
      <c r="P29" s="240"/>
      <c r="Q29" s="240"/>
      <c r="R29" s="240"/>
      <c r="S29" s="240"/>
      <c r="T29" s="240"/>
      <c r="U29" s="240"/>
      <c r="V29" s="240">
        <v>-1409599.44</v>
      </c>
      <c r="W29" s="240"/>
      <c r="X29" s="241">
        <f t="shared" si="0"/>
        <v>-1409599.44</v>
      </c>
      <c r="Y29" s="240"/>
      <c r="Z29" s="241">
        <f t="shared" si="1"/>
        <v>-1409599.44</v>
      </c>
      <c r="AD29" s="114"/>
    </row>
    <row r="30" spans="1:30" ht="13.5" customHeight="1">
      <c r="A30" s="467" t="s">
        <v>1099</v>
      </c>
      <c r="B30" s="467"/>
      <c r="C30" s="467"/>
      <c r="D30" s="467"/>
      <c r="E30" s="467"/>
      <c r="F30" s="467"/>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7" t="s">
        <v>1100</v>
      </c>
      <c r="B31" s="467"/>
      <c r="C31" s="467"/>
      <c r="D31" s="467"/>
      <c r="E31" s="467"/>
      <c r="F31" s="467"/>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7" t="s">
        <v>1098</v>
      </c>
      <c r="B32" s="467"/>
      <c r="C32" s="467"/>
      <c r="D32" s="467"/>
      <c r="E32" s="467"/>
      <c r="F32" s="467"/>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87" t="s">
        <v>1101</v>
      </c>
      <c r="B33" s="487"/>
      <c r="C33" s="487"/>
      <c r="D33" s="487"/>
      <c r="E33" s="487"/>
      <c r="F33" s="487"/>
      <c r="G33" s="178">
        <v>24</v>
      </c>
      <c r="H33" s="108"/>
      <c r="I33" s="243">
        <f>ROUND(SUM(I13:I32),2)</f>
        <v>14165541.18</v>
      </c>
      <c r="J33" s="243">
        <f aca="true" t="shared" si="3" ref="J33:Y33">ROUND(SUM(J13:J32),2)</f>
        <v>11894389.65</v>
      </c>
      <c r="K33" s="243">
        <f t="shared" si="3"/>
        <v>75840.32</v>
      </c>
      <c r="L33" s="243">
        <f t="shared" si="3"/>
        <v>192853.98</v>
      </c>
      <c r="M33" s="243">
        <f t="shared" si="3"/>
        <v>192853.98</v>
      </c>
      <c r="N33" s="243">
        <f t="shared" si="3"/>
        <v>0</v>
      </c>
      <c r="O33" s="243">
        <f t="shared" si="3"/>
        <v>0</v>
      </c>
      <c r="P33" s="243">
        <f t="shared" si="3"/>
        <v>0</v>
      </c>
      <c r="Q33" s="243">
        <f t="shared" si="3"/>
        <v>-2528707.37</v>
      </c>
      <c r="R33" s="243">
        <f t="shared" si="3"/>
        <v>0</v>
      </c>
      <c r="S33" s="243">
        <f t="shared" si="3"/>
        <v>0</v>
      </c>
      <c r="T33" s="243">
        <f t="shared" si="3"/>
        <v>0</v>
      </c>
      <c r="U33" s="243">
        <f t="shared" si="3"/>
        <v>0</v>
      </c>
      <c r="V33" s="243">
        <f t="shared" si="3"/>
        <v>2411360.1</v>
      </c>
      <c r="W33" s="243">
        <f t="shared" si="3"/>
        <v>3196500.12</v>
      </c>
      <c r="X33" s="241">
        <f t="shared" si="0"/>
        <v>29214924</v>
      </c>
      <c r="Y33" s="243">
        <f t="shared" si="3"/>
        <v>0</v>
      </c>
      <c r="Z33" s="241">
        <f t="shared" si="1"/>
        <v>29214924</v>
      </c>
      <c r="AG33" s="114"/>
    </row>
    <row r="34" spans="1:33" s="3" customFormat="1" ht="15.75" customHeight="1">
      <c r="A34" s="484" t="s">
        <v>2611</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D34" s="113"/>
      <c r="AE34" s="114"/>
      <c r="AF34" s="113"/>
      <c r="AG34" s="114"/>
    </row>
    <row r="35" spans="1:26" ht="24" customHeight="1">
      <c r="A35" s="486" t="s">
        <v>1102</v>
      </c>
      <c r="B35" s="486"/>
      <c r="C35" s="486"/>
      <c r="D35" s="486"/>
      <c r="E35" s="486"/>
      <c r="F35" s="486"/>
      <c r="G35" s="177">
        <v>25</v>
      </c>
      <c r="H35" s="107"/>
      <c r="I35" s="241">
        <f>ROUND(SUM(I15:I23)*$AC$7,2)</f>
        <v>0</v>
      </c>
      <c r="J35" s="241">
        <f aca="true" t="shared" si="4" ref="J35:W35">ROUND(SUM(J15:J23)*$AC$7,2)</f>
        <v>1852.52</v>
      </c>
      <c r="K35" s="241">
        <f t="shared" si="4"/>
        <v>0</v>
      </c>
      <c r="L35" s="241">
        <f t="shared" si="4"/>
        <v>0</v>
      </c>
      <c r="M35" s="241">
        <f t="shared" si="4"/>
        <v>0</v>
      </c>
      <c r="N35" s="241">
        <f t="shared" si="4"/>
        <v>0</v>
      </c>
      <c r="O35" s="241">
        <f t="shared" si="4"/>
        <v>0</v>
      </c>
      <c r="P35" s="241">
        <f t="shared" si="4"/>
        <v>0</v>
      </c>
      <c r="Q35" s="241">
        <f t="shared" si="4"/>
        <v>-865067.36</v>
      </c>
      <c r="R35" s="241">
        <f t="shared" si="4"/>
        <v>0</v>
      </c>
      <c r="S35" s="241">
        <f t="shared" si="4"/>
        <v>0</v>
      </c>
      <c r="T35" s="241">
        <f t="shared" si="4"/>
        <v>0</v>
      </c>
      <c r="U35" s="241">
        <f t="shared" si="4"/>
        <v>0</v>
      </c>
      <c r="V35" s="241">
        <f t="shared" si="4"/>
        <v>464896.11</v>
      </c>
      <c r="W35" s="241">
        <f t="shared" si="4"/>
        <v>0</v>
      </c>
      <c r="X35" s="241">
        <f t="shared" si="0"/>
        <v>-398318.73</v>
      </c>
      <c r="Y35" s="241">
        <f>ROUND(SUM(Y15:Y23)*$AC$7,2)</f>
        <v>0</v>
      </c>
      <c r="Z35" s="241">
        <f t="shared" si="1"/>
        <v>-398318.73</v>
      </c>
    </row>
    <row r="36" spans="1:31" s="3" customFormat="1" ht="24" customHeight="1">
      <c r="A36" s="486" t="s">
        <v>1103</v>
      </c>
      <c r="B36" s="486"/>
      <c r="C36" s="486"/>
      <c r="D36" s="486"/>
      <c r="E36" s="486"/>
      <c r="F36" s="486"/>
      <c r="G36" s="177">
        <v>26</v>
      </c>
      <c r="H36" s="107"/>
      <c r="I36" s="241">
        <f>ROUND((I14+I35)*$AC$7,2)</f>
        <v>0</v>
      </c>
      <c r="J36" s="241">
        <f aca="true" t="shared" si="5" ref="J36:Y36">ROUND((J14+J35)*$AC$7,2)</f>
        <v>1852.52</v>
      </c>
      <c r="K36" s="241">
        <f t="shared" si="5"/>
        <v>0</v>
      </c>
      <c r="L36" s="241">
        <f t="shared" si="5"/>
        <v>0</v>
      </c>
      <c r="M36" s="241">
        <f t="shared" si="5"/>
        <v>0</v>
      </c>
      <c r="N36" s="241">
        <f t="shared" si="5"/>
        <v>0</v>
      </c>
      <c r="O36" s="241">
        <f t="shared" si="5"/>
        <v>0</v>
      </c>
      <c r="P36" s="241">
        <f t="shared" si="5"/>
        <v>0</v>
      </c>
      <c r="Q36" s="241">
        <f t="shared" si="5"/>
        <v>-865067.36</v>
      </c>
      <c r="R36" s="241">
        <f t="shared" si="5"/>
        <v>0</v>
      </c>
      <c r="S36" s="241">
        <f t="shared" si="5"/>
        <v>0</v>
      </c>
      <c r="T36" s="241">
        <f t="shared" si="5"/>
        <v>0</v>
      </c>
      <c r="U36" s="241">
        <f t="shared" si="5"/>
        <v>0</v>
      </c>
      <c r="V36" s="241">
        <f t="shared" si="5"/>
        <v>464896.11</v>
      </c>
      <c r="W36" s="241">
        <f t="shared" si="5"/>
        <v>3196500.12</v>
      </c>
      <c r="X36" s="241">
        <f t="shared" si="0"/>
        <v>2798181.39</v>
      </c>
      <c r="Y36" s="241">
        <f t="shared" si="5"/>
        <v>0</v>
      </c>
      <c r="Z36" s="241">
        <f t="shared" si="1"/>
        <v>2798181.39</v>
      </c>
      <c r="AD36" s="114"/>
      <c r="AE36" s="109"/>
    </row>
    <row r="37" spans="1:31" s="3" customFormat="1" ht="24" customHeight="1">
      <c r="A37" s="491" t="s">
        <v>2489</v>
      </c>
      <c r="B37" s="491"/>
      <c r="C37" s="491"/>
      <c r="D37" s="491"/>
      <c r="E37" s="491"/>
      <c r="F37" s="491"/>
      <c r="G37" s="178">
        <v>27</v>
      </c>
      <c r="H37" s="108"/>
      <c r="I37" s="243">
        <f>ROUND(SUM(I24:I32)*$AC$7,2)</f>
        <v>0</v>
      </c>
      <c r="J37" s="243">
        <f aca="true" t="shared" si="6" ref="J37:Y37">ROUND(SUM(J24:J32)*$AC$7,2)</f>
        <v>0</v>
      </c>
      <c r="K37" s="243">
        <f t="shared" si="6"/>
        <v>0</v>
      </c>
      <c r="L37" s="243">
        <f t="shared" si="6"/>
        <v>34827.57</v>
      </c>
      <c r="M37" s="243">
        <f t="shared" si="6"/>
        <v>34827.57</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-1444427.01</v>
      </c>
      <c r="W37" s="243">
        <f t="shared" si="6"/>
        <v>0</v>
      </c>
      <c r="X37" s="241">
        <f t="shared" si="0"/>
        <v>-1444427.01</v>
      </c>
      <c r="Y37" s="243">
        <f t="shared" si="6"/>
        <v>0</v>
      </c>
      <c r="Z37" s="241">
        <f t="shared" si="1"/>
        <v>-1444427.01</v>
      </c>
      <c r="AD37" s="114"/>
      <c r="AE37" s="109"/>
    </row>
    <row r="38" spans="1:33" s="3" customFormat="1" ht="15.75" customHeight="1">
      <c r="A38" s="484" t="s">
        <v>2458</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D38" s="113"/>
      <c r="AE38" s="114"/>
      <c r="AF38" s="113"/>
      <c r="AG38" s="114"/>
    </row>
    <row r="39" spans="1:30" ht="13.5" customHeight="1">
      <c r="A39" s="466" t="s">
        <v>2490</v>
      </c>
      <c r="B39" s="466"/>
      <c r="C39" s="466"/>
      <c r="D39" s="466"/>
      <c r="E39" s="466"/>
      <c r="F39" s="466"/>
      <c r="G39" s="177">
        <v>28</v>
      </c>
      <c r="H39" s="107"/>
      <c r="I39" s="244">
        <v>14165541.18</v>
      </c>
      <c r="J39" s="244">
        <v>11894389.65</v>
      </c>
      <c r="K39" s="244">
        <v>75840.32</v>
      </c>
      <c r="L39" s="244">
        <v>192853.98</v>
      </c>
      <c r="M39" s="244">
        <v>192853.98</v>
      </c>
      <c r="N39" s="244">
        <v>0</v>
      </c>
      <c r="O39" s="244">
        <v>0</v>
      </c>
      <c r="P39" s="244"/>
      <c r="Q39" s="244">
        <v>-2528707.37</v>
      </c>
      <c r="R39" s="244">
        <v>0</v>
      </c>
      <c r="S39" s="244">
        <v>0</v>
      </c>
      <c r="T39" s="244">
        <v>0</v>
      </c>
      <c r="U39" s="244">
        <v>0</v>
      </c>
      <c r="V39" s="244">
        <f>+V33+W36</f>
        <v>5607860.220000001</v>
      </c>
      <c r="W39" s="244"/>
      <c r="X39" s="241">
        <f aca="true" t="shared" si="7" ref="X39:X62">ROUND(SUM(I39:L39)-M39+SUM(N39:W39),2)</f>
        <v>29214924</v>
      </c>
      <c r="Y39" s="244"/>
      <c r="Z39" s="241">
        <f aca="true" t="shared" si="8" ref="Z39:Z62">ROUND(Y39+X39,2)</f>
        <v>29214924</v>
      </c>
      <c r="AD39" s="114"/>
    </row>
    <row r="40" spans="1:30" ht="13.5" customHeight="1">
      <c r="A40" s="467" t="s">
        <v>2869</v>
      </c>
      <c r="B40" s="467"/>
      <c r="C40" s="467"/>
      <c r="D40" s="467"/>
      <c r="E40" s="467"/>
      <c r="F40" s="467"/>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7" t="s">
        <v>2870</v>
      </c>
      <c r="B41" s="467"/>
      <c r="C41" s="467"/>
      <c r="D41" s="467"/>
      <c r="E41" s="467"/>
      <c r="F41" s="467"/>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66" t="s">
        <v>2491</v>
      </c>
      <c r="B42" s="466"/>
      <c r="C42" s="466"/>
      <c r="D42" s="466"/>
      <c r="E42" s="466"/>
      <c r="F42" s="466"/>
      <c r="G42" s="177">
        <v>31</v>
      </c>
      <c r="H42" s="107"/>
      <c r="I42" s="245">
        <f aca="true" t="shared" si="9" ref="I42:W42">SUM(I39:I41)</f>
        <v>14165541.18</v>
      </c>
      <c r="J42" s="245">
        <f t="shared" si="9"/>
        <v>11894389.65</v>
      </c>
      <c r="K42" s="245">
        <f t="shared" si="9"/>
        <v>75840.32</v>
      </c>
      <c r="L42" s="245">
        <f t="shared" si="9"/>
        <v>192853.98</v>
      </c>
      <c r="M42" s="245">
        <f t="shared" si="9"/>
        <v>192853.98</v>
      </c>
      <c r="N42" s="245">
        <f t="shared" si="9"/>
        <v>0</v>
      </c>
      <c r="O42" s="245">
        <f t="shared" si="9"/>
        <v>0</v>
      </c>
      <c r="P42" s="245">
        <f t="shared" si="9"/>
        <v>0</v>
      </c>
      <c r="Q42" s="245">
        <f t="shared" si="9"/>
        <v>-2528707.37</v>
      </c>
      <c r="R42" s="245">
        <f t="shared" si="9"/>
        <v>0</v>
      </c>
      <c r="S42" s="245">
        <f t="shared" si="9"/>
        <v>0</v>
      </c>
      <c r="T42" s="245">
        <f>SUM(T39:T41)</f>
        <v>0</v>
      </c>
      <c r="U42" s="245">
        <f>SUM(U39:U41)</f>
        <v>0</v>
      </c>
      <c r="V42" s="245">
        <f t="shared" si="9"/>
        <v>5607860.220000001</v>
      </c>
      <c r="W42" s="245">
        <f t="shared" si="9"/>
        <v>0</v>
      </c>
      <c r="X42" s="241">
        <f t="shared" si="7"/>
        <v>29214924</v>
      </c>
      <c r="Y42" s="245">
        <f>SUM(Y39:Y41)</f>
        <v>0</v>
      </c>
      <c r="Z42" s="241">
        <f t="shared" si="8"/>
        <v>29214924</v>
      </c>
      <c r="AG42" s="114"/>
    </row>
    <row r="43" spans="1:33" ht="13.5" customHeight="1">
      <c r="A43" s="467" t="s">
        <v>2872</v>
      </c>
      <c r="B43" s="467"/>
      <c r="C43" s="467"/>
      <c r="D43" s="467"/>
      <c r="E43" s="467"/>
      <c r="F43" s="467"/>
      <c r="G43" s="177">
        <v>32</v>
      </c>
      <c r="H43" s="107"/>
      <c r="I43" s="246"/>
      <c r="J43" s="246"/>
      <c r="K43" s="246"/>
      <c r="L43" s="246"/>
      <c r="M43" s="246"/>
      <c r="N43" s="246"/>
      <c r="O43" s="246"/>
      <c r="P43" s="246"/>
      <c r="Q43" s="246"/>
      <c r="R43" s="246"/>
      <c r="S43" s="246"/>
      <c r="T43" s="246"/>
      <c r="U43" s="246"/>
      <c r="V43" s="246"/>
      <c r="W43" s="244">
        <f>5195279.64</f>
        <v>5195279.64</v>
      </c>
      <c r="X43" s="241">
        <f t="shared" si="7"/>
        <v>5195279.64</v>
      </c>
      <c r="Y43" s="244"/>
      <c r="Z43" s="241">
        <f t="shared" si="8"/>
        <v>5195279.64</v>
      </c>
      <c r="AG43" s="114"/>
    </row>
    <row r="44" spans="1:26" ht="13.5" customHeight="1">
      <c r="A44" s="467" t="s">
        <v>2873</v>
      </c>
      <c r="B44" s="467"/>
      <c r="C44" s="467"/>
      <c r="D44" s="467"/>
      <c r="E44" s="467"/>
      <c r="F44" s="467"/>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7" t="s">
        <v>2492</v>
      </c>
      <c r="B45" s="467"/>
      <c r="C45" s="467"/>
      <c r="D45" s="467"/>
      <c r="E45" s="467"/>
      <c r="F45" s="467"/>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7" t="s">
        <v>1691</v>
      </c>
      <c r="B46" s="467"/>
      <c r="C46" s="467"/>
      <c r="D46" s="467"/>
      <c r="E46" s="467"/>
      <c r="F46" s="467"/>
      <c r="G46" s="177">
        <v>35</v>
      </c>
      <c r="H46" s="107"/>
      <c r="I46" s="246"/>
      <c r="J46" s="246"/>
      <c r="K46" s="246"/>
      <c r="L46" s="246"/>
      <c r="M46" s="246"/>
      <c r="N46" s="246"/>
      <c r="O46" s="246"/>
      <c r="P46" s="246"/>
      <c r="Q46" s="244">
        <f>4984727.84-442083.68</f>
        <v>4542644.16</v>
      </c>
      <c r="R46" s="246"/>
      <c r="S46" s="246"/>
      <c r="T46" s="246"/>
      <c r="U46" s="246"/>
      <c r="V46" s="244"/>
      <c r="W46" s="244"/>
      <c r="X46" s="241">
        <f t="shared" si="7"/>
        <v>4542644.16</v>
      </c>
      <c r="Y46" s="244"/>
      <c r="Z46" s="241">
        <f t="shared" si="8"/>
        <v>4542644.16</v>
      </c>
      <c r="AD46" s="114"/>
      <c r="AE46" s="109"/>
    </row>
    <row r="47" spans="1:31" s="3" customFormat="1" ht="13.5" customHeight="1">
      <c r="A47" s="467" t="s">
        <v>1692</v>
      </c>
      <c r="B47" s="467"/>
      <c r="C47" s="467"/>
      <c r="D47" s="467"/>
      <c r="E47" s="467"/>
      <c r="F47" s="467"/>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7" t="s">
        <v>2878</v>
      </c>
      <c r="B48" s="467"/>
      <c r="C48" s="467"/>
      <c r="D48" s="467"/>
      <c r="E48" s="467"/>
      <c r="F48" s="467"/>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7" t="s">
        <v>2493</v>
      </c>
      <c r="B49" s="467"/>
      <c r="C49" s="467"/>
      <c r="D49" s="467"/>
      <c r="E49" s="467"/>
      <c r="F49" s="467"/>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7" t="s">
        <v>322</v>
      </c>
      <c r="B50" s="467"/>
      <c r="C50" s="467"/>
      <c r="D50" s="467"/>
      <c r="E50" s="467"/>
      <c r="F50" s="467"/>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7" t="s">
        <v>323</v>
      </c>
      <c r="B51" s="467"/>
      <c r="C51" s="467"/>
      <c r="D51" s="467"/>
      <c r="E51" s="467"/>
      <c r="F51" s="467"/>
      <c r="G51" s="177">
        <v>40</v>
      </c>
      <c r="H51" s="107"/>
      <c r="I51" s="244">
        <v>0</v>
      </c>
      <c r="J51" s="244">
        <v>110979.01</v>
      </c>
      <c r="K51" s="244">
        <v>0</v>
      </c>
      <c r="L51" s="244">
        <v>0</v>
      </c>
      <c r="M51" s="244">
        <v>0</v>
      </c>
      <c r="N51" s="244">
        <v>0</v>
      </c>
      <c r="O51" s="244">
        <v>0</v>
      </c>
      <c r="P51" s="244">
        <v>0</v>
      </c>
      <c r="Q51" s="244">
        <v>0</v>
      </c>
      <c r="R51" s="244">
        <v>0</v>
      </c>
      <c r="S51" s="244">
        <v>0</v>
      </c>
      <c r="T51" s="244">
        <v>0</v>
      </c>
      <c r="U51" s="244">
        <v>0</v>
      </c>
      <c r="V51" s="244">
        <v>0</v>
      </c>
      <c r="W51" s="244">
        <v>0</v>
      </c>
      <c r="X51" s="241">
        <f t="shared" si="7"/>
        <v>110979.01</v>
      </c>
      <c r="Y51" s="244"/>
      <c r="Z51" s="241">
        <f t="shared" si="8"/>
        <v>110979.01</v>
      </c>
      <c r="AD51" s="114"/>
    </row>
    <row r="52" spans="1:30" ht="13.5" customHeight="1">
      <c r="A52" s="467" t="s">
        <v>324</v>
      </c>
      <c r="B52" s="467"/>
      <c r="C52" s="467"/>
      <c r="D52" s="467"/>
      <c r="E52" s="467"/>
      <c r="F52" s="467"/>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7" t="s">
        <v>2487</v>
      </c>
      <c r="B53" s="467"/>
      <c r="C53" s="467"/>
      <c r="D53" s="467"/>
      <c r="E53" s="467"/>
      <c r="F53" s="467"/>
      <c r="G53" s="177">
        <v>42</v>
      </c>
      <c r="H53" s="107"/>
      <c r="I53" s="244">
        <v>-0.18</v>
      </c>
      <c r="J53" s="244">
        <v>0.18</v>
      </c>
      <c r="K53" s="244">
        <v>0</v>
      </c>
      <c r="L53" s="244">
        <v>0</v>
      </c>
      <c r="M53" s="244">
        <v>0</v>
      </c>
      <c r="N53" s="244">
        <v>0</v>
      </c>
      <c r="O53" s="244">
        <v>0</v>
      </c>
      <c r="P53" s="244">
        <v>0</v>
      </c>
      <c r="Q53" s="244">
        <v>0</v>
      </c>
      <c r="R53" s="244">
        <v>0</v>
      </c>
      <c r="S53" s="244">
        <v>0</v>
      </c>
      <c r="T53" s="244">
        <v>0</v>
      </c>
      <c r="U53" s="244">
        <v>0</v>
      </c>
      <c r="V53" s="244">
        <v>0</v>
      </c>
      <c r="W53" s="244">
        <v>0</v>
      </c>
      <c r="X53" s="241">
        <f t="shared" si="7"/>
        <v>0</v>
      </c>
      <c r="Y53" s="244"/>
      <c r="Z53" s="241">
        <f t="shared" si="8"/>
        <v>0</v>
      </c>
      <c r="AD53" s="114"/>
    </row>
    <row r="54" spans="1:33" ht="24" customHeight="1">
      <c r="A54" s="467" t="s">
        <v>2494</v>
      </c>
      <c r="B54" s="467"/>
      <c r="C54" s="467"/>
      <c r="D54" s="467"/>
      <c r="E54" s="467"/>
      <c r="F54" s="467"/>
      <c r="G54" s="177">
        <v>43</v>
      </c>
      <c r="H54" s="107"/>
      <c r="I54" s="244">
        <v>0</v>
      </c>
      <c r="J54" s="244">
        <v>0</v>
      </c>
      <c r="K54" s="244">
        <v>0</v>
      </c>
      <c r="L54" s="244">
        <v>0</v>
      </c>
      <c r="M54" s="244">
        <v>0</v>
      </c>
      <c r="N54" s="244">
        <v>0</v>
      </c>
      <c r="O54" s="244">
        <v>0</v>
      </c>
      <c r="P54" s="244">
        <v>0</v>
      </c>
      <c r="Q54" s="244">
        <v>0</v>
      </c>
      <c r="R54" s="244">
        <v>0</v>
      </c>
      <c r="S54" s="244">
        <v>0</v>
      </c>
      <c r="T54" s="244">
        <v>0</v>
      </c>
      <c r="U54" s="244">
        <v>0</v>
      </c>
      <c r="V54" s="244">
        <v>0</v>
      </c>
      <c r="W54" s="244">
        <v>0</v>
      </c>
      <c r="X54" s="241">
        <f t="shared" si="7"/>
        <v>0</v>
      </c>
      <c r="Y54" s="244"/>
      <c r="Z54" s="241">
        <f t="shared" si="8"/>
        <v>0</v>
      </c>
      <c r="AG54" s="114"/>
    </row>
    <row r="55" spans="1:33" ht="24" customHeight="1">
      <c r="A55" s="467" t="s">
        <v>2495</v>
      </c>
      <c r="B55" s="467"/>
      <c r="C55" s="467"/>
      <c r="D55" s="467"/>
      <c r="E55" s="467"/>
      <c r="F55" s="467"/>
      <c r="G55" s="177">
        <v>44</v>
      </c>
      <c r="H55" s="107"/>
      <c r="I55" s="244">
        <v>0</v>
      </c>
      <c r="J55" s="244">
        <v>0</v>
      </c>
      <c r="K55" s="244">
        <v>0</v>
      </c>
      <c r="L55" s="244">
        <v>0</v>
      </c>
      <c r="M55" s="244">
        <v>0</v>
      </c>
      <c r="N55" s="244">
        <v>0</v>
      </c>
      <c r="O55" s="244">
        <v>0</v>
      </c>
      <c r="P55" s="244">
        <v>0</v>
      </c>
      <c r="Q55" s="244">
        <v>0</v>
      </c>
      <c r="R55" s="244">
        <v>0</v>
      </c>
      <c r="S55" s="244">
        <v>0</v>
      </c>
      <c r="T55" s="244">
        <v>0</v>
      </c>
      <c r="U55" s="244">
        <v>0</v>
      </c>
      <c r="V55" s="244">
        <v>0</v>
      </c>
      <c r="W55" s="244">
        <v>0</v>
      </c>
      <c r="X55" s="241">
        <f t="shared" si="7"/>
        <v>0</v>
      </c>
      <c r="Y55" s="244"/>
      <c r="Z55" s="241">
        <f t="shared" si="8"/>
        <v>0</v>
      </c>
      <c r="AG55" s="114"/>
    </row>
    <row r="56" spans="1:26" ht="13.5" customHeight="1">
      <c r="A56" s="467" t="s">
        <v>325</v>
      </c>
      <c r="B56" s="467"/>
      <c r="C56" s="467"/>
      <c r="D56" s="467"/>
      <c r="E56" s="467"/>
      <c r="F56" s="467"/>
      <c r="G56" s="177">
        <v>45</v>
      </c>
      <c r="H56" s="107"/>
      <c r="I56" s="244"/>
      <c r="J56" s="244"/>
      <c r="K56" s="244"/>
      <c r="L56" s="244">
        <v>-120142.23</v>
      </c>
      <c r="M56" s="244">
        <v>-120142.23</v>
      </c>
      <c r="N56" s="244"/>
      <c r="O56" s="244"/>
      <c r="P56" s="244"/>
      <c r="Q56" s="244"/>
      <c r="R56" s="244"/>
      <c r="S56" s="244"/>
      <c r="T56" s="244"/>
      <c r="U56" s="244"/>
      <c r="V56" s="244">
        <v>120142.23</v>
      </c>
      <c r="W56" s="244">
        <v>0</v>
      </c>
      <c r="X56" s="241">
        <f t="shared" si="7"/>
        <v>120142.23</v>
      </c>
      <c r="Y56" s="244"/>
      <c r="Z56" s="241">
        <f t="shared" si="8"/>
        <v>120142.23</v>
      </c>
    </row>
    <row r="57" spans="1:26" ht="13.5" customHeight="1">
      <c r="A57" s="467" t="s">
        <v>2858</v>
      </c>
      <c r="B57" s="467"/>
      <c r="C57" s="467"/>
      <c r="D57" s="467"/>
      <c r="E57" s="467"/>
      <c r="F57" s="467"/>
      <c r="G57" s="177">
        <v>46</v>
      </c>
      <c r="H57" s="107"/>
      <c r="I57" s="244">
        <v>0</v>
      </c>
      <c r="J57" s="244">
        <v>0</v>
      </c>
      <c r="K57" s="244">
        <v>0</v>
      </c>
      <c r="L57" s="244"/>
      <c r="M57" s="244"/>
      <c r="N57" s="244"/>
      <c r="O57" s="244"/>
      <c r="P57" s="244"/>
      <c r="Q57" s="244"/>
      <c r="R57" s="244"/>
      <c r="S57" s="244"/>
      <c r="T57" s="244"/>
      <c r="U57" s="244"/>
      <c r="V57" s="244"/>
      <c r="W57" s="244">
        <v>0</v>
      </c>
      <c r="X57" s="241">
        <f t="shared" si="7"/>
        <v>0</v>
      </c>
      <c r="Y57" s="244"/>
      <c r="Z57" s="241">
        <f t="shared" si="8"/>
        <v>0</v>
      </c>
    </row>
    <row r="58" spans="1:26" ht="13.5" customHeight="1">
      <c r="A58" s="467" t="s">
        <v>1104</v>
      </c>
      <c r="B58" s="467"/>
      <c r="C58" s="467"/>
      <c r="D58" s="467"/>
      <c r="E58" s="467"/>
      <c r="F58" s="467"/>
      <c r="G58" s="177">
        <v>47</v>
      </c>
      <c r="H58" s="107"/>
      <c r="I58" s="244">
        <v>0</v>
      </c>
      <c r="J58" s="244">
        <v>0</v>
      </c>
      <c r="K58" s="244">
        <v>0</v>
      </c>
      <c r="L58" s="244"/>
      <c r="M58" s="244"/>
      <c r="N58" s="244"/>
      <c r="O58" s="244"/>
      <c r="P58" s="244"/>
      <c r="Q58" s="244"/>
      <c r="R58" s="244"/>
      <c r="S58" s="244"/>
      <c r="T58" s="244"/>
      <c r="U58" s="244"/>
      <c r="V58" s="244">
        <v>-1920015.9</v>
      </c>
      <c r="W58" s="244">
        <v>0</v>
      </c>
      <c r="X58" s="241">
        <f t="shared" si="7"/>
        <v>-1920015.9</v>
      </c>
      <c r="Y58" s="244"/>
      <c r="Z58" s="241">
        <f t="shared" si="8"/>
        <v>-1920015.9</v>
      </c>
    </row>
    <row r="59" spans="1:26" ht="13.5" customHeight="1">
      <c r="A59" s="467" t="s">
        <v>1105</v>
      </c>
      <c r="B59" s="467"/>
      <c r="C59" s="467"/>
      <c r="D59" s="467"/>
      <c r="E59" s="467"/>
      <c r="F59" s="467"/>
      <c r="G59" s="177">
        <v>48</v>
      </c>
      <c r="H59" s="107"/>
      <c r="I59" s="244">
        <v>0</v>
      </c>
      <c r="J59" s="244">
        <v>0</v>
      </c>
      <c r="K59" s="244">
        <v>0</v>
      </c>
      <c r="L59" s="244">
        <v>0</v>
      </c>
      <c r="M59" s="244">
        <v>0</v>
      </c>
      <c r="N59" s="244">
        <v>0</v>
      </c>
      <c r="O59" s="244">
        <v>0</v>
      </c>
      <c r="P59" s="244">
        <v>0</v>
      </c>
      <c r="Q59" s="244">
        <v>0</v>
      </c>
      <c r="R59" s="244">
        <v>0</v>
      </c>
      <c r="S59" s="244">
        <v>0</v>
      </c>
      <c r="T59" s="244">
        <v>0</v>
      </c>
      <c r="U59" s="244">
        <v>0</v>
      </c>
      <c r="V59" s="244">
        <v>0</v>
      </c>
      <c r="W59" s="244">
        <v>0</v>
      </c>
      <c r="X59" s="241">
        <f t="shared" si="7"/>
        <v>0</v>
      </c>
      <c r="Y59" s="244"/>
      <c r="Z59" s="241">
        <f t="shared" si="8"/>
        <v>0</v>
      </c>
    </row>
    <row r="60" spans="1:31" s="3" customFormat="1" ht="13.5" customHeight="1">
      <c r="A60" s="467" t="s">
        <v>1106</v>
      </c>
      <c r="B60" s="467"/>
      <c r="C60" s="467"/>
      <c r="D60" s="467"/>
      <c r="E60" s="467"/>
      <c r="F60" s="467"/>
      <c r="G60" s="177">
        <v>49</v>
      </c>
      <c r="H60" s="107"/>
      <c r="I60" s="244">
        <v>0</v>
      </c>
      <c r="J60" s="244">
        <v>0</v>
      </c>
      <c r="K60" s="244">
        <v>0</v>
      </c>
      <c r="L60" s="244">
        <v>0</v>
      </c>
      <c r="M60" s="244">
        <v>0</v>
      </c>
      <c r="N60" s="244">
        <v>0</v>
      </c>
      <c r="O60" s="244">
        <v>0</v>
      </c>
      <c r="P60" s="244">
        <v>0</v>
      </c>
      <c r="Q60" s="244">
        <v>0</v>
      </c>
      <c r="R60" s="244">
        <v>0</v>
      </c>
      <c r="S60" s="244">
        <v>0</v>
      </c>
      <c r="T60" s="244">
        <v>0</v>
      </c>
      <c r="U60" s="244">
        <v>0</v>
      </c>
      <c r="V60" s="244">
        <v>0</v>
      </c>
      <c r="W60" s="244">
        <v>0</v>
      </c>
      <c r="X60" s="241">
        <f t="shared" si="7"/>
        <v>0</v>
      </c>
      <c r="Y60" s="244"/>
      <c r="Z60" s="241">
        <f t="shared" si="8"/>
        <v>0</v>
      </c>
      <c r="AD60" s="114"/>
      <c r="AE60" s="109"/>
    </row>
    <row r="61" spans="1:31" s="3" customFormat="1" ht="13.5" customHeight="1">
      <c r="A61" s="467" t="s">
        <v>1098</v>
      </c>
      <c r="B61" s="467"/>
      <c r="C61" s="467"/>
      <c r="D61" s="467"/>
      <c r="E61" s="467"/>
      <c r="F61" s="467"/>
      <c r="G61" s="177">
        <v>50</v>
      </c>
      <c r="H61" s="107"/>
      <c r="I61" s="244">
        <v>0</v>
      </c>
      <c r="J61" s="244">
        <v>0</v>
      </c>
      <c r="K61" s="244">
        <v>0</v>
      </c>
      <c r="L61" s="244">
        <v>0</v>
      </c>
      <c r="M61" s="244">
        <v>0</v>
      </c>
      <c r="N61" s="244">
        <v>0</v>
      </c>
      <c r="O61" s="244">
        <v>0</v>
      </c>
      <c r="P61" s="244">
        <v>0</v>
      </c>
      <c r="Q61" s="244">
        <v>0</v>
      </c>
      <c r="R61" s="244">
        <v>0</v>
      </c>
      <c r="S61" s="244">
        <v>0</v>
      </c>
      <c r="T61" s="244">
        <v>0</v>
      </c>
      <c r="U61" s="244">
        <v>0</v>
      </c>
      <c r="V61" s="244">
        <v>0</v>
      </c>
      <c r="W61" s="244">
        <v>0</v>
      </c>
      <c r="X61" s="241">
        <f t="shared" si="7"/>
        <v>0</v>
      </c>
      <c r="Y61" s="244"/>
      <c r="Z61" s="241">
        <f t="shared" si="8"/>
        <v>0</v>
      </c>
      <c r="AD61" s="114"/>
      <c r="AE61" s="109"/>
    </row>
    <row r="62" spans="1:31" s="3" customFormat="1" ht="13.5" customHeight="1">
      <c r="A62" s="487" t="s">
        <v>1107</v>
      </c>
      <c r="B62" s="487"/>
      <c r="C62" s="487"/>
      <c r="D62" s="487"/>
      <c r="E62" s="487"/>
      <c r="F62" s="487"/>
      <c r="G62" s="178">
        <v>51</v>
      </c>
      <c r="H62" s="108"/>
      <c r="I62" s="247">
        <f aca="true" t="shared" si="10" ref="I62:W62">SUM(I42:I61)</f>
        <v>14165541</v>
      </c>
      <c r="J62" s="247">
        <f t="shared" si="10"/>
        <v>12005368.84</v>
      </c>
      <c r="K62" s="247">
        <f t="shared" si="10"/>
        <v>75840.32</v>
      </c>
      <c r="L62" s="247">
        <f t="shared" si="10"/>
        <v>72711.75000000001</v>
      </c>
      <c r="M62" s="247">
        <f t="shared" si="10"/>
        <v>72711.75000000001</v>
      </c>
      <c r="N62" s="247">
        <f t="shared" si="10"/>
        <v>0</v>
      </c>
      <c r="O62" s="247">
        <f t="shared" si="10"/>
        <v>0</v>
      </c>
      <c r="P62" s="247">
        <f t="shared" si="10"/>
        <v>0</v>
      </c>
      <c r="Q62" s="247">
        <f t="shared" si="10"/>
        <v>2013936.79</v>
      </c>
      <c r="R62" s="247">
        <f t="shared" si="10"/>
        <v>0</v>
      </c>
      <c r="S62" s="247">
        <f t="shared" si="10"/>
        <v>0</v>
      </c>
      <c r="T62" s="247">
        <f>SUM(T42:T61)</f>
        <v>0</v>
      </c>
      <c r="U62" s="247">
        <f>SUM(U42:U61)</f>
        <v>0</v>
      </c>
      <c r="V62" s="247">
        <f t="shared" si="10"/>
        <v>3807986.550000001</v>
      </c>
      <c r="W62" s="247">
        <f t="shared" si="10"/>
        <v>5195279.64</v>
      </c>
      <c r="X62" s="241">
        <f t="shared" si="7"/>
        <v>37263953.14</v>
      </c>
      <c r="Y62" s="247">
        <f>SUM(Y42:Y61)</f>
        <v>0</v>
      </c>
      <c r="Z62" s="241">
        <f t="shared" si="8"/>
        <v>37263953.14</v>
      </c>
      <c r="AD62" s="114"/>
      <c r="AE62" s="109"/>
    </row>
    <row r="63" spans="1:33" s="3" customFormat="1" ht="15.75" customHeight="1">
      <c r="A63" s="484" t="s">
        <v>2611</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D63" s="113"/>
      <c r="AE63" s="114"/>
      <c r="AF63" s="113"/>
      <c r="AG63" s="114"/>
    </row>
    <row r="64" spans="1:30" ht="24" customHeight="1">
      <c r="A64" s="486" t="s">
        <v>1108</v>
      </c>
      <c r="B64" s="486"/>
      <c r="C64" s="486"/>
      <c r="D64" s="486"/>
      <c r="E64" s="486"/>
      <c r="F64" s="486"/>
      <c r="G64" s="177">
        <v>52</v>
      </c>
      <c r="H64" s="107"/>
      <c r="I64" s="245">
        <f>ROUND(SUM(I44:I52)*$AC$7,2)</f>
        <v>0</v>
      </c>
      <c r="J64" s="245">
        <f aca="true" t="shared" si="11" ref="J64:Y64">ROUND(SUM(J44:J52)*$AC$7,2)</f>
        <v>110979.01</v>
      </c>
      <c r="K64" s="245">
        <f t="shared" si="11"/>
        <v>0</v>
      </c>
      <c r="L64" s="245">
        <f t="shared" si="11"/>
        <v>0</v>
      </c>
      <c r="M64" s="245">
        <f t="shared" si="11"/>
        <v>0</v>
      </c>
      <c r="N64" s="245">
        <f t="shared" si="11"/>
        <v>0</v>
      </c>
      <c r="O64" s="245">
        <f t="shared" si="11"/>
        <v>0</v>
      </c>
      <c r="P64" s="245">
        <f t="shared" si="11"/>
        <v>0</v>
      </c>
      <c r="Q64" s="245">
        <f t="shared" si="11"/>
        <v>4542644.16</v>
      </c>
      <c r="R64" s="245">
        <f t="shared" si="11"/>
        <v>0</v>
      </c>
      <c r="S64" s="245">
        <f t="shared" si="11"/>
        <v>0</v>
      </c>
      <c r="T64" s="245">
        <f t="shared" si="11"/>
        <v>0</v>
      </c>
      <c r="U64" s="245">
        <f t="shared" si="11"/>
        <v>0</v>
      </c>
      <c r="V64" s="245">
        <f t="shared" si="11"/>
        <v>0</v>
      </c>
      <c r="W64" s="245">
        <f t="shared" si="11"/>
        <v>0</v>
      </c>
      <c r="X64" s="241">
        <f>ROUND(SUM(I64:L64)-M64+SUM(N64:W64),2)</f>
        <v>4653623.17</v>
      </c>
      <c r="Y64" s="245">
        <f t="shared" si="11"/>
        <v>0</v>
      </c>
      <c r="Z64" s="241">
        <f>ROUND(Y64+X64,2)</f>
        <v>4653623.17</v>
      </c>
      <c r="AD64" s="114"/>
    </row>
    <row r="65" spans="1:30" ht="24" customHeight="1">
      <c r="A65" s="486" t="s">
        <v>1109</v>
      </c>
      <c r="B65" s="486"/>
      <c r="C65" s="486"/>
      <c r="D65" s="486"/>
      <c r="E65" s="486"/>
      <c r="F65" s="486"/>
      <c r="G65" s="177">
        <v>53</v>
      </c>
      <c r="H65" s="107"/>
      <c r="I65" s="245">
        <f>ROUND((I43+I64)*$AC$7,2)</f>
        <v>0</v>
      </c>
      <c r="J65" s="245">
        <f aca="true" t="shared" si="12" ref="J65:Y65">ROUND((J43+J64)*$AC$7,2)</f>
        <v>110979.01</v>
      </c>
      <c r="K65" s="245">
        <f t="shared" si="12"/>
        <v>0</v>
      </c>
      <c r="L65" s="245">
        <f t="shared" si="12"/>
        <v>0</v>
      </c>
      <c r="M65" s="245">
        <f t="shared" si="12"/>
        <v>0</v>
      </c>
      <c r="N65" s="245">
        <f t="shared" si="12"/>
        <v>0</v>
      </c>
      <c r="O65" s="245">
        <f t="shared" si="12"/>
        <v>0</v>
      </c>
      <c r="P65" s="245">
        <f t="shared" si="12"/>
        <v>0</v>
      </c>
      <c r="Q65" s="245">
        <f t="shared" si="12"/>
        <v>4542644.16</v>
      </c>
      <c r="R65" s="245">
        <f t="shared" si="12"/>
        <v>0</v>
      </c>
      <c r="S65" s="245">
        <f t="shared" si="12"/>
        <v>0</v>
      </c>
      <c r="T65" s="245">
        <f t="shared" si="12"/>
        <v>0</v>
      </c>
      <c r="U65" s="245">
        <f t="shared" si="12"/>
        <v>0</v>
      </c>
      <c r="V65" s="245">
        <f t="shared" si="12"/>
        <v>0</v>
      </c>
      <c r="W65" s="245">
        <f t="shared" si="12"/>
        <v>5195279.64</v>
      </c>
      <c r="X65" s="241">
        <f>ROUND(SUM(I65:L65)-M65+SUM(N65:W65),2)</f>
        <v>9848902.81</v>
      </c>
      <c r="Y65" s="245">
        <f t="shared" si="12"/>
        <v>0</v>
      </c>
      <c r="Z65" s="241">
        <f>ROUND(Y65+X65,2)</f>
        <v>9848902.81</v>
      </c>
      <c r="AD65" s="114"/>
    </row>
    <row r="66" spans="1:30" ht="24" customHeight="1">
      <c r="A66" s="491" t="s">
        <v>2867</v>
      </c>
      <c r="B66" s="491"/>
      <c r="C66" s="491"/>
      <c r="D66" s="491"/>
      <c r="E66" s="491"/>
      <c r="F66" s="491"/>
      <c r="G66" s="178">
        <v>54</v>
      </c>
      <c r="H66" s="108"/>
      <c r="I66" s="247">
        <f>ROUND(SUM(I53:I61)*$AC$7,2)</f>
        <v>-0.18</v>
      </c>
      <c r="J66" s="247">
        <f aca="true" t="shared" si="13" ref="J66:Y66">ROUND(SUM(J53:J61)*$AC$7,2)</f>
        <v>0.18</v>
      </c>
      <c r="K66" s="247">
        <f t="shared" si="13"/>
        <v>0</v>
      </c>
      <c r="L66" s="247">
        <f t="shared" si="13"/>
        <v>-120142.23</v>
      </c>
      <c r="M66" s="247">
        <f t="shared" si="13"/>
        <v>-120142.23</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-1799873.67</v>
      </c>
      <c r="W66" s="247">
        <f t="shared" si="13"/>
        <v>0</v>
      </c>
      <c r="X66" s="243">
        <f>ROUND(SUM(I66:L66)-M66+SUM(N66:W66),2)</f>
        <v>-1799873.67</v>
      </c>
      <c r="Y66" s="247">
        <f t="shared" si="13"/>
        <v>0</v>
      </c>
      <c r="Z66" s="243">
        <f>ROUND(Y66+X66,2)</f>
        <v>-1799873.67</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7:F57"/>
    <mergeCell ref="A54:F54"/>
    <mergeCell ref="A55:F55"/>
    <mergeCell ref="A51:F51"/>
    <mergeCell ref="A52:F52"/>
    <mergeCell ref="A53:F53"/>
    <mergeCell ref="A56:F56"/>
    <mergeCell ref="A50:F50"/>
    <mergeCell ref="A66:F66"/>
    <mergeCell ref="A61:F61"/>
    <mergeCell ref="A62:F62"/>
    <mergeCell ref="A64:F64"/>
    <mergeCell ref="A65:F65"/>
    <mergeCell ref="A63:Z63"/>
    <mergeCell ref="A60:F60"/>
    <mergeCell ref="A59:F59"/>
    <mergeCell ref="A58:F58"/>
    <mergeCell ref="A49:F49"/>
    <mergeCell ref="A29:F29"/>
    <mergeCell ref="A30:F30"/>
    <mergeCell ref="A35:F35"/>
    <mergeCell ref="A37:F37"/>
    <mergeCell ref="A39:F39"/>
    <mergeCell ref="A44:F44"/>
    <mergeCell ref="A46:F46"/>
    <mergeCell ref="A47:F47"/>
    <mergeCell ref="A45:F45"/>
    <mergeCell ref="A48:F48"/>
    <mergeCell ref="A43:F43"/>
    <mergeCell ref="A41:F41"/>
    <mergeCell ref="A16:F16"/>
    <mergeCell ref="A17:F17"/>
    <mergeCell ref="A24:F24"/>
    <mergeCell ref="A25:F25"/>
    <mergeCell ref="A23:F23"/>
    <mergeCell ref="A42:F42"/>
    <mergeCell ref="A34:Z34"/>
    <mergeCell ref="A38:Z38"/>
    <mergeCell ref="A40:F40"/>
    <mergeCell ref="A27:F27"/>
    <mergeCell ref="A36:F36"/>
    <mergeCell ref="A33:F33"/>
    <mergeCell ref="A8:F8"/>
    <mergeCell ref="A15:F15"/>
    <mergeCell ref="A11:F11"/>
    <mergeCell ref="A12:F12"/>
    <mergeCell ref="A31:F31"/>
    <mergeCell ref="A32:F32"/>
    <mergeCell ref="A18:F18"/>
    <mergeCell ref="A19:F19"/>
    <mergeCell ref="A10:F10"/>
    <mergeCell ref="A28:F28"/>
    <mergeCell ref="Y6:Y7"/>
    <mergeCell ref="A21:F21"/>
    <mergeCell ref="A26:F26"/>
    <mergeCell ref="A22:F22"/>
    <mergeCell ref="Q3:Y3"/>
    <mergeCell ref="G6:G7"/>
    <mergeCell ref="H6:H7"/>
    <mergeCell ref="A20:F20"/>
    <mergeCell ref="A6:F7"/>
    <mergeCell ref="A9:Z9"/>
    <mergeCell ref="Q2:Y2"/>
    <mergeCell ref="A13:F13"/>
    <mergeCell ref="A14:F14"/>
    <mergeCell ref="Z2:Z3"/>
    <mergeCell ref="P2:P3"/>
    <mergeCell ref="A2:H2"/>
    <mergeCell ref="Z6:Z7"/>
    <mergeCell ref="A3:H3"/>
    <mergeCell ref="A5:N5"/>
    <mergeCell ref="I6:X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Width="0" fitToHeight="1" horizontalDpi="1200" verticalDpi="1200" orientation="landscape" paperSize="9" scale="40"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MI Racunovodja</cp:lastModifiedBy>
  <cp:lastPrinted>2024-03-07T16:02:58Z</cp:lastPrinted>
  <dcterms:created xsi:type="dcterms:W3CDTF">2008-10-17T11:51:54Z</dcterms:created>
  <dcterms:modified xsi:type="dcterms:W3CDTF">2024-03-07T16:03:15Z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