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aveExternalLinkValues="0" codeName="ThisWorkbook" defaultThemeVersion="124226"/>
  <mc:AlternateContent xmlns:mc="http://schemas.openxmlformats.org/markup-compatibility/2006">
    <mc:Choice Requires="x15">
      <x15ac:absPath xmlns:x15ac="http://schemas.microsoft.com/office/spreadsheetml/2010/11/ac" url="Y:\JAVNA OBJAVA\2025 JAVNA OBJAVA ZTK\1. kvartal 2025\1-3 CTN\"/>
    </mc:Choice>
  </mc:AlternateContent>
  <xr:revisionPtr revIDLastSave="0" documentId="13_ncr:1_{6A716E31-B04A-4C9B-923A-1D4A4F0A7B1E}" xr6:coauthVersionLast="47" xr6:coauthVersionMax="47" xr10:uidLastSave="{00000000-0000-0000-0000-000000000000}"/>
  <bookViews>
    <workbookView xWindow="-120" yWindow="-120" windowWidth="29040" windowHeight="1572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7" i="26" l="1"/>
  <c r="U57" i="22"/>
  <c r="V40" i="22"/>
  <c r="V57" i="22"/>
  <c r="V36" i="22"/>
  <c r="U36" i="22"/>
  <c r="V11" i="22" l="1"/>
  <c r="I16" i="18" l="1"/>
  <c r="I21" i="18"/>
  <c r="O42" i="22" l="1"/>
  <c r="V28" i="22"/>
  <c r="U28" i="22"/>
  <c r="H131" i="18"/>
  <c r="I93" i="18" l="1"/>
  <c r="K100" i="26"/>
  <c r="K101" i="26"/>
  <c r="K102" i="26"/>
  <c r="K103" i="26"/>
  <c r="K104" i="26"/>
  <c r="K105" i="26"/>
  <c r="K107" i="26"/>
  <c r="K99" i="26"/>
  <c r="K93" i="26"/>
  <c r="K94" i="26"/>
  <c r="K95" i="26"/>
  <c r="K96" i="26"/>
  <c r="K92" i="26"/>
  <c r="K89" i="26"/>
  <c r="K72" i="26"/>
  <c r="K73" i="26"/>
  <c r="K71" i="26"/>
  <c r="K50" i="26"/>
  <c r="K51" i="26"/>
  <c r="K52" i="26"/>
  <c r="K53" i="26"/>
  <c r="K54" i="26"/>
  <c r="K55" i="26"/>
  <c r="K56" i="26"/>
  <c r="K57" i="26"/>
  <c r="K58" i="26"/>
  <c r="K59" i="26"/>
  <c r="K49" i="26"/>
  <c r="J45" i="26"/>
  <c r="K45" i="26" s="1"/>
  <c r="K42" i="26"/>
  <c r="K43" i="26"/>
  <c r="K44" i="26"/>
  <c r="K46" i="26"/>
  <c r="K47" i="26"/>
  <c r="K41" i="26"/>
  <c r="K36" i="26"/>
  <c r="K22" i="26"/>
  <c r="K23" i="26"/>
  <c r="K24" i="26"/>
  <c r="K25" i="26"/>
  <c r="K21" i="26"/>
  <c r="K18" i="26"/>
  <c r="K19" i="26"/>
  <c r="K17" i="26"/>
  <c r="K10" i="26"/>
  <c r="K11" i="26"/>
  <c r="K12" i="26"/>
  <c r="K13" i="26"/>
  <c r="K9" i="26"/>
  <c r="I131" i="18"/>
  <c r="H16" i="18" l="1"/>
  <c r="I19" i="18"/>
  <c r="H21" i="18"/>
  <c r="H19" i="18"/>
  <c r="I106" i="26" l="1"/>
  <c r="I52" i="26"/>
  <c r="I51" i="26"/>
  <c r="I49" i="26"/>
  <c r="I45" i="26"/>
  <c r="I44" i="26"/>
  <c r="I41" i="26"/>
  <c r="I36" i="26"/>
  <c r="I25" i="26"/>
  <c r="I24" i="26"/>
  <c r="I23" i="26"/>
  <c r="I22" i="26"/>
  <c r="I21" i="26"/>
  <c r="I19" i="26"/>
  <c r="I17" i="26"/>
  <c r="I13" i="26"/>
  <c r="I12" i="26"/>
  <c r="I11" i="26"/>
  <c r="I10" i="26"/>
  <c r="I9" i="26"/>
  <c r="W8" i="22" l="1"/>
  <c r="W9" i="22"/>
  <c r="W7" i="22"/>
  <c r="J98" i="26" l="1"/>
  <c r="K98" i="26"/>
  <c r="I98" i="26"/>
  <c r="H98" i="26"/>
  <c r="J91" i="26"/>
  <c r="K91" i="26"/>
  <c r="I91" i="26"/>
  <c r="H91" i="26"/>
  <c r="K90" i="26" l="1"/>
  <c r="J108" i="26"/>
  <c r="J109" i="26" s="1"/>
  <c r="H108" i="26"/>
  <c r="K108" i="26"/>
  <c r="K109" i="26" s="1"/>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9" i="26" s="1"/>
  <c r="I109"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89" i="26" s="1"/>
  <c r="H109" i="26" s="1"/>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<sst xmlns="http://schemas.openxmlformats.org/spreadsheetml/2006/main" count="536" uniqueCount="471">
  <si>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</si>
  <si>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</si>
  <si>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</si>
  <si>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</si>
  <si>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</si>
  <si>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</si>
  <si>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</si>
  <si>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</si>
  <si>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</si>
  <si>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</si>
  <si>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</si>
  <si>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</si>
  <si>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</si>
  <si>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</si>
  <si>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</si>
  <si>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</si>
  <si>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</si>
  <si>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</si>
  <si>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</si>
  <si>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</si>
  <si>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</si>
  <si>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</si>
  <si>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</si>
  <si>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</si>
  <si>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</si>
  <si>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</si>
  <si>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</si>
  <si>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</si>
  <si>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</si>
  <si>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</si>
  <si>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</si>
  <si>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</si>
  <si>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</si>
  <si>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</si>
  <si>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</si>
  <si>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</si>
  <si>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</si>
  <si>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</si>
  <si>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</si>
  <si>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</si>
  <si>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</si>
  <si>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</si>
  <si>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</si>
  <si>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</si>
  <si>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</si>
  <si>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</si>
  <si>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</si>
  <si>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</si>
  <si>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</si>
  <si>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</si>
  <si>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</si>
  <si>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</si>
  <si>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</si>
  <si>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</si>
  <si>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</si>
  <si>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</si>
  <si>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</si>
  <si>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</si>
  <si>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</si>
  <si>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</si>
  <si>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</si>
  <si>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</si>
  <si>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</si>
  <si>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</si>
  <si>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</si>
  <si>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</si>
  <si>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</si>
  <si>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</si>
  <si>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</si>
  <si>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</si>
  <si>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</si>
  <si>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</si>
  <si>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</si>
  <si>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</si>
  <si>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</si>
  <si>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</si>
  <si>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</si>
  <si>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</si>
  <si>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</si>
  <si>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</si>
  <si>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</si>
  <si>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</si>
  <si>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</si>
  <si>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</si>
  <si>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</si>
  <si>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</si>
  <si>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</si>
  <si>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</si>
  <si>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</si>
  <si>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</si>
  <si>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</si>
  <si>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</si>
  <si>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</si>
  <si>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</si>
  <si>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</si>
  <si>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</si>
  <si>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</si>
  <si>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</si>
  <si>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</si>
  <si>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</si>
  <si>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</si>
  <si>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</si>
  <si>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</si>
  <si>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</si>
  <si>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</si>
  <si>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</si>
  <si>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</si>
  <si>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</si>
  <si>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</si>
  <si>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</si>
  <si>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</si>
  <si>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</si>
  <si>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</si>
  <si>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</si>
  <si>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</si>
  <si>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</si>
  <si>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</si>
  <si>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</si>
  <si>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</si>
  <si>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</si>
  <si>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</si>
  <si>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</si>
  <si>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</si>
  <si>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</si>
  <si>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</si>
  <si>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</si>
  <si>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</si>
  <si>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</si>
  <si>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</si>
  <si>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</si>
  <si>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</si>
  <si>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</si>
  <si>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</si>
  <si>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</si>
  <si>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</si>
  <si>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</si>
  <si>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</si>
  <si>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</si>
  <si>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</si>
  <si>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</si>
  <si>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</si>
  <si>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</si>
  <si>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</si>
  <si>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</si>
  <si>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</si>
  <si>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</si>
  <si>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</si>
  <si>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</si>
  <si>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</si>
  <si>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</si>
  <si>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</si>
  <si>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</si>
  <si>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</si>
  <si>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</si>
  <si>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</si>
  <si>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</si>
  <si>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</si>
  <si>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</si>
  <si>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</si>
  <si>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</si>
  <si>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</si>
  <si>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</si>
  <si>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</si>
  <si>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</si>
  <si>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</si>
  <si>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</si>
  <si>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</si>
  <si>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</si>
  <si>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</si>
  <si>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</si>
  <si>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</si>
  <si>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</si>
  <si>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</si>
  <si>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</si>
  <si>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</si>
  <si>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</si>
  <si>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</si>
  <si>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</si>
  <si>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</si>
  <si>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</si>
  <si>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</si>
  <si>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</si>
  <si>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</si>
  <si>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</si>
  <si>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</si>
  <si>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</si>
  <si>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</si>
  <si>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</si>
  <si>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</si>
  <si>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</si>
  <si>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</si>
  <si>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</si>
  <si>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</si>
  <si>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</si>
  <si>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</si>
  <si>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</si>
  <si>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</si>
  <si>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</si>
  <si>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</si>
  <si>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</si>
  <si>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</si>
  <si>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</si>
  <si>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</si>
  <si>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</si>
  <si>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</si>
  <si>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</si>
  <si>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</si>
  <si>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</si>
  <si>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</si>
  <si>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</si>
  <si>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</si>
  <si>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</si>
  <si>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</si>
  <si>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</si>
  <si>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</si>
  <si>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</si>
  <si>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</si>
  <si>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</si>
  <si>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</si>
  <si>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</si>
  <si>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</si>
  <si>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</si>
  <si>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</si>
  <si>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</si>
  <si>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</si>
  <si>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</si>
  <si>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</si>
  <si>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</si>
  <si>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</si>
  <si>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</si>
  <si>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</si>
  <si>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</si>
  <si>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</si>
  <si>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</si>
  <si>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</si>
  <si>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</si>
  <si>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</si>
  <si>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</si>
  <si>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</si>
  <si>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</si>
  <si>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</si>
  <si>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</si>
  <si>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</si>
  <si>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</si>
  <si>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</si>
  <si>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</si>
  <si>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</si>
  <si>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</si>
  <si>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</si>
  <si>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</si>
  <si>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</si>
  <si>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</si>
  <si>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</si>
  <si>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</si>
  <si>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</si>
  <si>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</si>
  <si>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</si>
  <si>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</si>
  <si>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</si>
  <si>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</si>
  <si>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</si>
  <si>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</si>
  <si>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</si>
  <si>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</si>
  <si>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</si>
  <si>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</si>
  <si>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</si>
  <si>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</si>
  <si>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</si>
  <si>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</si>
  <si>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</si>
  <si>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</si>
  <si>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</si>
  <si>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</si>
  <si>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</si>
  <si>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</si>
  <si>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</si>
  <si>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</si>
  <si>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</si>
  <si>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</si>
  <si>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</si>
  <si>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</si>
  <si>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</si>
  <si>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</si>
  <si>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</si>
  <si>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</si>
  <si>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</si>
  <si>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</si>
  <si>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</si>
  <si>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</si>
  <si>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</si>
  <si>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</si>
  <si>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</si>
  <si>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</si>
  <si>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</si>
  <si>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</si>
  <si>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</si>
  <si>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</si>
  <si>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</si>
  <si>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</si>
  <si>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</si>
  <si>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</si>
  <si>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</si>
  <si>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</si>
  <si>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</si>
  <si>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</si>
  <si>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</si>
  <si>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</si>
  <si>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</si>
  <si>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</si>
  <si>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</si>
  <si>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</si>
  <si>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</si>
  <si>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</si>
  <si>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</si>
  <si>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</si>
  <si>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</si>
  <si>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</si>
  <si>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</si>
  <si>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</si>
  <si>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</si>
  <si>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</si>
  <si>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</si>
  <si>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</si>
  <si>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</si>
  <si>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</si>
  <si>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</si>
  <si>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</si>
  <si>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</si>
  <si>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</si>
  <si>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</si>
  <si>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</si>
  <si>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</si>
  <si>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</si>
  <si>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</si>
  <si>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</si>
  <si>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</si>
  <si>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</si>
  <si>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</si>
  <si>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</si>
  <si>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</si>
  <si>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</si>
  <si>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</si>
  <si>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</si>
  <si>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</si>
  <si>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</si>
  <si>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</si>
  <si>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</si>
  <si>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</si>
  <si>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</si>
  <si>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</si>
  <si>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</si>
  <si>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</si>
  <si>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</si>
  <si>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</si>
  <si>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</si>
  <si>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</si>
  <si>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</si>
  <si>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</si>
  <si>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</si>
  <si>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</si>
  <si>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</si>
  <si>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</si>
  <si>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</si>
  <si>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</si>
  <si>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</si>
  <si>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</si>
  <si>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</si>
  <si>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</si>
  <si>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</si>
  <si>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</si>
  <si>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</si>
  <si>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</si>
  <si>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</si>
  <si>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</si>
  <si>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</si>
  <si>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</si>
  <si>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</si>
  <si>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</si>
  <si>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</si>
  <si>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</si>
  <si>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</si>
  <si>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</si>
  <si>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</si>
  <si>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</si>
  <si>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</si>
  <si>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</si>
  <si>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</si>
  <si>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</si>
  <si>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</si>
  <si>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</si>
  <si>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</si>
  <si>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</si>
  <si>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</si>
  <si>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</si>
  <si>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</si>
  <si>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</si>
  <si>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</si>
  <si>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</si>
  <si>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</si>
  <si>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</si>
  <si>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</si>
  <si>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</si>
  <si>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</si>
  <si>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</si>
  <si>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</si>
  <si>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</si>
  <si>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</si>
  <si>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</si>
  <si>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</si>
  <si>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</si>
  <si>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</si>
  <si>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</si>
  <si>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</si>
  <si>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</si>
  <si>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</si>
  <si>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</si>
  <si>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</si>
  <si>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</si>
  <si>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</si>
  <si>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</si>
  <si>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</si>
  <si>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</si>
  <si>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</si>
  <si>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</si>
  <si>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</si>
  <si>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</si>
  <si>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</si>
  <si>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</si>
  <si>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</si>
  <si>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</si>
  <si>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</si>
  <si>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</si>
  <si>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</si>
  <si>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</si>
  <si>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</si>
  <si>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</si>
  <si>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</si>
  <si>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</si>
  <si>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</si>
  <si>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</si>
  <si>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</si>
  <si>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</si>
  <si>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</si>
  <si>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</si>
  <si>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</si>
  <si>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</si>
  <si>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</si>
  <si>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</si>
  <si>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03298744</t>
  </si>
  <si>
    <t>080037012</t>
  </si>
  <si>
    <t>HR</t>
  </si>
  <si>
    <t>24640993045</t>
  </si>
  <si>
    <t>637</t>
  </si>
  <si>
    <t>CROATIA AIRLINES d.d.</t>
  </si>
  <si>
    <t>ZAGREB</t>
  </si>
  <si>
    <t>BANI 75 b</t>
  </si>
  <si>
    <t>uprava@croatiaairlines.hr</t>
  </si>
  <si>
    <t>www.croatiaairlines.hr</t>
  </si>
  <si>
    <t>DIJANA JANUŠIĆ</t>
  </si>
  <si>
    <t>01/6160049</t>
  </si>
  <si>
    <t>dijana.janusic@croatiaairlines.hr</t>
  </si>
  <si>
    <t>BDO CROATIA d.o.o.</t>
  </si>
  <si>
    <t>VEDRANA STIPIĆ</t>
  </si>
  <si>
    <t>Obveznik:  CROATIA AIRLINES d.d.</t>
  </si>
  <si>
    <t>Obveznik: CROATIA AIRLINES d.d.</t>
  </si>
  <si>
    <t xml:space="preserve">stanje na dan _31.03.2025 </t>
  </si>
  <si>
    <t>u razdoblju 1.01.2025 do 31.03.2025</t>
  </si>
  <si>
    <t>u razdoblju 01.01.2025. do 31.03.2025</t>
  </si>
  <si>
    <t>BILJEŠKE UZ FINANCIJSKE IZVJEŠTAJE - TFI
(koji se sastavljaju za tromjesečna razdoblja)
Naziv izdavatelja:  CROATIA AIRLINES d.d.
OIB:   24640993045
Izvještajno razdoblje: 1.1.2025.-31.3.2025.
Bilješke uz financijske izvještaje za tromjesečna razdoblja uključuju:
IATA predviđa snažnu potražnju za putovanjima u 2025. godini, uz projicirano povećanje prihoda i dobiti zrakoplovnih kompanija, što se pripisuje očekivanim nižim cijenama goriva, unatoč kontinuiranim izazovima poput problema u opskrbnim lancima i ograničenjima u povećanju kapaciteta.
U 2025. godini Croatia Airlines očekuje isporuku pet novih zrakoplova Airbus A220, čime se nastavlja obnova cjelokupne flote novim i tehnološki naprednijim zrakoplovima u tržišnom segmentu od 100 do 150 sjedala. Dolazak prvog zrakoplova u 2025. godini očekuje se u svibnju. 
Ljetnim redom letenja Croatia Airlines će dodatno proširiti mrežu međunarodnih odredišta, uvođenjem novih međunarodnih linija iz Zagreba za Milano, Prag, Bukurešt, Madrid i Hamburg, a povećat će i frekvencije na postojećim linijama, kako iz Zagreba, tako i iz Splita i Dubrovnika. Letovi na novim linijama planirani su od početka srpnja do kraja listopada ove godine, a trebali bi se obavljati novim zrakoplovima Airbus A220. 
Poslovanje Croatia Airlinesa u prvom tromjesečju 2025. godine obilježeno je nastavkom investicijskog ciklusa zamjene flote zrakoplova, uz izražene operativne i financijske izazove karakteristične za tranzicijsko razdoblje. Na kraju promatranog razdoblja ostvaren je operativni gubitak u visini od 15,4 milijuna EUR koji s neto rezultatom financiranja daje neto gubitak od 15,9 milijuna EUR. 
Krajem 2025. godine planirano je prometovanje sa sedam novih A220 zrakoplova. Ovaj projekt, najveći u povijesti Croatia Airlinesa od njegova osnutka, predstavlja temelj za dugoročni održivi razvoj kompanije. Nova flota donosi brojne prednosti, uključujući pojednostavljenje operativnih procesa, povećanje financijske učinkovitosti te osiguranje ekološke održivosti, uz smanjenje potrošnje goriva i emisija CO2, što je posebno značajno u kontekstu globalnih trendova dekarbonizacije industrije zračnog prijevoza.</t>
  </si>
  <si>
    <t>74780000B0QHXQ0LQw20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</si>
</sst>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1" defaultTableStyle="TableStyleMedium2" defaultPivotStyle="PivotStyleLight16">
    <tableStyle name="Invisible" pivot="0" table="0" count="0" xr9:uid="{C25CA6A7-0310-41C2-A5F0-73DCCD60DCB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zoomScaleNormal="100" zoomScaleSheetLayoutView="100" workbookViewId="0">
      <selection activeCell="H15" sqref="H15:I15"/>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45658</v>
      </c>
      <c r="F4" s="139"/>
      <c r="G4" s="99" t="s">
        <v>0</v>
      </c>
      <c r="H4" s="138">
        <v>45747</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330</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1</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332</v>
      </c>
      <c r="B10" s="151"/>
      <c r="C10" s="151"/>
      <c r="D10" s="151"/>
      <c r="E10" s="151"/>
      <c r="F10" s="151"/>
      <c r="G10" s="151"/>
      <c r="H10" s="151"/>
      <c r="I10" s="151"/>
      <c r="J10" s="107"/>
    </row>
    <row r="11" spans="1:20" ht="24.6" customHeight="1" x14ac:dyDescent="0.25">
      <c r="A11" s="152" t="s">
        <v>309</v>
      </c>
      <c r="B11" s="153"/>
      <c r="C11" s="145" t="s">
        <v>449</v>
      </c>
      <c r="D11" s="146"/>
      <c r="E11" s="108"/>
      <c r="F11" s="154" t="s">
        <v>333</v>
      </c>
      <c r="G11" s="144"/>
      <c r="H11" s="155" t="s">
        <v>451</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450</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452</v>
      </c>
      <c r="D15" s="146"/>
      <c r="E15" s="163"/>
      <c r="F15" s="164"/>
      <c r="G15" s="109" t="s">
        <v>334</v>
      </c>
      <c r="H15" s="155" t="s">
        <v>470</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335</v>
      </c>
      <c r="C17" s="145" t="s">
        <v>453</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454</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10010</v>
      </c>
      <c r="D21" s="156"/>
      <c r="E21" s="149"/>
      <c r="F21" s="149"/>
      <c r="G21" s="160" t="s">
        <v>455</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456</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7" t="s">
        <v>457</v>
      </c>
      <c r="D25" s="168"/>
      <c r="E25" s="168"/>
      <c r="F25" s="168"/>
      <c r="G25" s="168"/>
      <c r="H25" s="168"/>
      <c r="I25" s="168"/>
      <c r="J25" s="169"/>
    </row>
    <row r="26" spans="1:10" x14ac:dyDescent="0.25">
      <c r="A26" s="111"/>
      <c r="B26" s="112"/>
      <c r="C26" s="118"/>
      <c r="D26" s="112"/>
      <c r="E26" s="149"/>
      <c r="F26" s="149"/>
      <c r="G26" s="149"/>
      <c r="H26" s="149"/>
      <c r="I26" s="112"/>
      <c r="J26" s="115"/>
    </row>
    <row r="27" spans="1:10" x14ac:dyDescent="0.25">
      <c r="A27" s="152" t="s">
        <v>315</v>
      </c>
      <c r="B27" s="159"/>
      <c r="C27" s="167" t="s">
        <v>458</v>
      </c>
      <c r="D27" s="168"/>
      <c r="E27" s="168"/>
      <c r="F27" s="168"/>
      <c r="G27" s="168"/>
      <c r="H27" s="168"/>
      <c r="I27" s="168"/>
      <c r="J27" s="169"/>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951</v>
      </c>
      <c r="D29" s="119"/>
      <c r="E29" s="166"/>
      <c r="F29" s="166"/>
      <c r="G29" s="166"/>
      <c r="H29" s="166"/>
      <c r="I29" s="120"/>
      <c r="J29" s="121"/>
    </row>
    <row r="30" spans="1:10" x14ac:dyDescent="0.25">
      <c r="A30" s="111"/>
      <c r="B30" s="112"/>
      <c r="C30" s="112"/>
      <c r="D30" s="112"/>
      <c r="E30" s="149"/>
      <c r="F30" s="149"/>
      <c r="G30" s="149"/>
      <c r="H30" s="149"/>
      <c r="I30" s="120"/>
      <c r="J30" s="121"/>
    </row>
    <row r="31" spans="1:10" x14ac:dyDescent="0.25">
      <c r="A31" s="152" t="s">
        <v>316</v>
      </c>
      <c r="B31" s="159"/>
      <c r="C31" s="41" t="s">
        <v>337</v>
      </c>
      <c r="D31" s="170" t="s">
        <v>336</v>
      </c>
      <c r="E31" s="171"/>
      <c r="F31" s="171"/>
      <c r="G31" s="171"/>
      <c r="H31" s="112"/>
      <c r="I31" s="122" t="s">
        <v>337</v>
      </c>
      <c r="J31" s="123" t="s">
        <v>338</v>
      </c>
    </row>
    <row r="32" spans="1:10" x14ac:dyDescent="0.25">
      <c r="A32" s="152"/>
      <c r="B32" s="159"/>
      <c r="C32" s="124"/>
      <c r="D32" s="99"/>
      <c r="E32" s="164"/>
      <c r="F32" s="164"/>
      <c r="G32" s="164"/>
      <c r="H32" s="164"/>
      <c r="I32" s="120"/>
      <c r="J32" s="121"/>
    </row>
    <row r="33" spans="1:10" x14ac:dyDescent="0.25">
      <c r="A33" s="152" t="s">
        <v>326</v>
      </c>
      <c r="B33" s="159"/>
      <c r="C33" s="40" t="s">
        <v>340</v>
      </c>
      <c r="D33" s="170" t="s">
        <v>339</v>
      </c>
      <c r="E33" s="171"/>
      <c r="F33" s="171"/>
      <c r="G33" s="171"/>
      <c r="H33" s="116"/>
      <c r="I33" s="122" t="s">
        <v>340</v>
      </c>
      <c r="J33" s="123" t="s">
        <v>341</v>
      </c>
    </row>
    <row r="34" spans="1:10" x14ac:dyDescent="0.25">
      <c r="A34" s="111"/>
      <c r="B34" s="112"/>
      <c r="C34" s="112"/>
      <c r="D34" s="112"/>
      <c r="E34" s="149"/>
      <c r="F34" s="149"/>
      <c r="G34" s="149"/>
      <c r="H34" s="149"/>
      <c r="I34" s="112"/>
      <c r="J34" s="115"/>
    </row>
    <row r="35" spans="1:10" x14ac:dyDescent="0.25">
      <c r="A35" s="170" t="s">
        <v>327</v>
      </c>
      <c r="B35" s="171"/>
      <c r="C35" s="171"/>
      <c r="D35" s="171"/>
      <c r="E35" s="171" t="s">
        <v>317</v>
      </c>
      <c r="F35" s="171"/>
      <c r="G35" s="171"/>
      <c r="H35" s="171"/>
      <c r="I35" s="171"/>
      <c r="J35" s="125" t="s">
        <v>318</v>
      </c>
    </row>
    <row r="36" spans="1:10" x14ac:dyDescent="0.25">
      <c r="A36" s="111"/>
      <c r="B36" s="112"/>
      <c r="C36" s="112"/>
      <c r="D36" s="112"/>
      <c r="E36" s="149"/>
      <c r="F36" s="149"/>
      <c r="G36" s="149"/>
      <c r="H36" s="149"/>
      <c r="I36" s="112"/>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2"/>
      <c r="E48" s="149"/>
      <c r="F48" s="149"/>
      <c r="G48" s="176"/>
      <c r="H48" s="176"/>
      <c r="I48" s="112"/>
      <c r="J48" s="127" t="s">
        <v>342</v>
      </c>
    </row>
    <row r="49" spans="1:10" x14ac:dyDescent="0.25">
      <c r="A49" s="126"/>
      <c r="B49" s="118"/>
      <c r="C49" s="118"/>
      <c r="D49" s="112"/>
      <c r="E49" s="149"/>
      <c r="F49" s="149"/>
      <c r="G49" s="176"/>
      <c r="H49" s="176"/>
      <c r="I49" s="112"/>
      <c r="J49" s="127" t="s">
        <v>343</v>
      </c>
    </row>
    <row r="50" spans="1:10" ht="14.45" customHeight="1" x14ac:dyDescent="0.25">
      <c r="A50" s="143" t="s">
        <v>319</v>
      </c>
      <c r="B50" s="154"/>
      <c r="C50" s="155" t="s">
        <v>343</v>
      </c>
      <c r="D50" s="156"/>
      <c r="E50" s="182" t="s">
        <v>344</v>
      </c>
      <c r="F50" s="183"/>
      <c r="G50" s="160"/>
      <c r="H50" s="161"/>
      <c r="I50" s="161"/>
      <c r="J50" s="162"/>
    </row>
    <row r="51" spans="1:10" x14ac:dyDescent="0.25">
      <c r="A51" s="126"/>
      <c r="B51" s="118"/>
      <c r="C51" s="176"/>
      <c r="D51" s="176"/>
      <c r="E51" s="149"/>
      <c r="F51" s="149"/>
      <c r="G51" s="184" t="s">
        <v>345</v>
      </c>
      <c r="H51" s="184"/>
      <c r="I51" s="184"/>
      <c r="J51" s="104"/>
    </row>
    <row r="52" spans="1:10" ht="13.9" customHeight="1" x14ac:dyDescent="0.25">
      <c r="A52" s="143" t="s">
        <v>320</v>
      </c>
      <c r="B52" s="154"/>
      <c r="C52" s="160" t="s">
        <v>459</v>
      </c>
      <c r="D52" s="161"/>
      <c r="E52" s="161"/>
      <c r="F52" s="161"/>
      <c r="G52" s="161"/>
      <c r="H52" s="161"/>
      <c r="I52" s="161"/>
      <c r="J52" s="162"/>
    </row>
    <row r="53" spans="1:10" x14ac:dyDescent="0.25">
      <c r="A53" s="111"/>
      <c r="B53" s="112"/>
      <c r="C53" s="166" t="s">
        <v>321</v>
      </c>
      <c r="D53" s="166"/>
      <c r="E53" s="166"/>
      <c r="F53" s="166"/>
      <c r="G53" s="166"/>
      <c r="H53" s="166"/>
      <c r="I53" s="166"/>
      <c r="J53" s="115"/>
    </row>
    <row r="54" spans="1:10" x14ac:dyDescent="0.25">
      <c r="A54" s="143" t="s">
        <v>322</v>
      </c>
      <c r="B54" s="154"/>
      <c r="C54" s="178" t="s">
        <v>460</v>
      </c>
      <c r="D54" s="179"/>
      <c r="E54" s="180"/>
      <c r="F54" s="149"/>
      <c r="G54" s="149"/>
      <c r="H54" s="171"/>
      <c r="I54" s="171"/>
      <c r="J54" s="181"/>
    </row>
    <row r="55" spans="1:10" x14ac:dyDescent="0.25">
      <c r="A55" s="111"/>
      <c r="B55" s="112"/>
      <c r="C55" s="118"/>
      <c r="D55" s="112"/>
      <c r="E55" s="149"/>
      <c r="F55" s="149"/>
      <c r="G55" s="149"/>
      <c r="H55" s="149"/>
      <c r="I55" s="112"/>
      <c r="J55" s="115"/>
    </row>
    <row r="56" spans="1:10" ht="14.45" customHeight="1" x14ac:dyDescent="0.25">
      <c r="A56" s="143" t="s">
        <v>314</v>
      </c>
      <c r="B56" s="154"/>
      <c r="C56" s="185" t="s">
        <v>461</v>
      </c>
      <c r="D56" s="186"/>
      <c r="E56" s="186"/>
      <c r="F56" s="186"/>
      <c r="G56" s="186"/>
      <c r="H56" s="186"/>
      <c r="I56" s="186"/>
      <c r="J56" s="187"/>
    </row>
    <row r="57" spans="1:10" x14ac:dyDescent="0.25">
      <c r="A57" s="111"/>
      <c r="B57" s="112"/>
      <c r="C57" s="112"/>
      <c r="D57" s="112"/>
      <c r="E57" s="149"/>
      <c r="F57" s="149"/>
      <c r="G57" s="149"/>
      <c r="H57" s="149"/>
      <c r="I57" s="112"/>
      <c r="J57" s="115"/>
    </row>
    <row r="58" spans="1:10" x14ac:dyDescent="0.25">
      <c r="A58" s="143" t="s">
        <v>346</v>
      </c>
      <c r="B58" s="154"/>
      <c r="C58" s="185" t="s">
        <v>462</v>
      </c>
      <c r="D58" s="186"/>
      <c r="E58" s="186"/>
      <c r="F58" s="186"/>
      <c r="G58" s="186"/>
      <c r="H58" s="186"/>
      <c r="I58" s="186"/>
      <c r="J58" s="187"/>
    </row>
    <row r="59" spans="1:10" ht="14.45" customHeight="1" x14ac:dyDescent="0.25">
      <c r="A59" s="111"/>
      <c r="B59" s="112"/>
      <c r="C59" s="188" t="s">
        <v>347</v>
      </c>
      <c r="D59" s="188"/>
      <c r="E59" s="188"/>
      <c r="F59" s="188"/>
      <c r="G59" s="112"/>
      <c r="H59" s="112"/>
      <c r="I59" s="112"/>
      <c r="J59" s="115"/>
    </row>
    <row r="60" spans="1:10" x14ac:dyDescent="0.25">
      <c r="A60" s="143" t="s">
        <v>348</v>
      </c>
      <c r="B60" s="154"/>
      <c r="C60" s="185" t="s">
        <v>463</v>
      </c>
      <c r="D60" s="186"/>
      <c r="E60" s="186"/>
      <c r="F60" s="186"/>
      <c r="G60" s="186"/>
      <c r="H60" s="186"/>
      <c r="I60" s="186"/>
      <c r="J60" s="187"/>
    </row>
    <row r="61" spans="1:10" ht="14.45" customHeight="1" x14ac:dyDescent="0.25">
      <c r="A61" s="128"/>
      <c r="B61" s="129"/>
      <c r="C61" s="189" t="s">
        <v>349</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52" zoomScaleNormal="100" zoomScaleSheetLayoutView="110" workbookViewId="0">
      <selection activeCell="P20" sqref="P20"/>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466</v>
      </c>
      <c r="B2" s="196"/>
      <c r="C2" s="196"/>
      <c r="D2" s="196"/>
      <c r="E2" s="196"/>
      <c r="F2" s="196"/>
      <c r="G2" s="196"/>
      <c r="H2" s="196"/>
      <c r="I2" s="196"/>
    </row>
    <row r="3" spans="1:9" x14ac:dyDescent="0.2">
      <c r="A3" s="197" t="s">
        <v>448</v>
      </c>
      <c r="B3" s="197"/>
      <c r="C3" s="197"/>
      <c r="D3" s="197"/>
      <c r="E3" s="197"/>
      <c r="F3" s="197"/>
      <c r="G3" s="197"/>
      <c r="H3" s="197"/>
      <c r="I3" s="197"/>
    </row>
    <row r="4" spans="1:9" x14ac:dyDescent="0.2">
      <c r="A4" s="198" t="s">
        <v>464</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193156527</v>
      </c>
      <c r="I9" s="82">
        <f>I10+I17+I27+I38+I43</f>
        <v>188383759</v>
      </c>
    </row>
    <row r="10" spans="1:9" ht="12.75" customHeight="1" x14ac:dyDescent="0.2">
      <c r="A10" s="191" t="s">
        <v>5</v>
      </c>
      <c r="B10" s="191"/>
      <c r="C10" s="191"/>
      <c r="D10" s="191"/>
      <c r="E10" s="191"/>
      <c r="F10" s="191"/>
      <c r="G10" s="12">
        <v>3</v>
      </c>
      <c r="H10" s="82">
        <f>H11+H12+H13+H14+H15+H16</f>
        <v>6388309</v>
      </c>
      <c r="I10" s="82">
        <f>I11+I12+I13+I14+I15+I16</f>
        <v>6437942</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453683</v>
      </c>
      <c r="I12" s="18">
        <v>400989</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747990</v>
      </c>
      <c r="I15" s="18">
        <v>895962</v>
      </c>
    </row>
    <row r="16" spans="1:9" ht="12.75" customHeight="1" x14ac:dyDescent="0.2">
      <c r="A16" s="190" t="s">
        <v>11</v>
      </c>
      <c r="B16" s="190"/>
      <c r="C16" s="190"/>
      <c r="D16" s="190"/>
      <c r="E16" s="190"/>
      <c r="F16" s="190"/>
      <c r="G16" s="11">
        <v>9</v>
      </c>
      <c r="H16" s="18">
        <f>291872+4894764</f>
        <v>5186636</v>
      </c>
      <c r="I16" s="18">
        <f>264139+4876852</f>
        <v>5140991</v>
      </c>
    </row>
    <row r="17" spans="1:9" ht="12.75" customHeight="1" x14ac:dyDescent="0.2">
      <c r="A17" s="191" t="s">
        <v>12</v>
      </c>
      <c r="B17" s="191"/>
      <c r="C17" s="191"/>
      <c r="D17" s="191"/>
      <c r="E17" s="191"/>
      <c r="F17" s="191"/>
      <c r="G17" s="12">
        <v>10</v>
      </c>
      <c r="H17" s="82">
        <f>H18+H19+H20+H21+H22+H23+H24+H25+H26</f>
        <v>120457311</v>
      </c>
      <c r="I17" s="82">
        <f>I18+I19+I20+I21+I22+I23+I24+I25+I26</f>
        <v>115405727</v>
      </c>
    </row>
    <row r="18" spans="1:9" ht="12.75" customHeight="1" x14ac:dyDescent="0.2">
      <c r="A18" s="190" t="s">
        <v>13</v>
      </c>
      <c r="B18" s="190"/>
      <c r="C18" s="190"/>
      <c r="D18" s="190"/>
      <c r="E18" s="190"/>
      <c r="F18" s="190"/>
      <c r="G18" s="11">
        <v>11</v>
      </c>
      <c r="H18" s="18">
        <v>2621659</v>
      </c>
      <c r="I18" s="18">
        <v>2621659</v>
      </c>
    </row>
    <row r="19" spans="1:9" ht="12.75" customHeight="1" x14ac:dyDescent="0.2">
      <c r="A19" s="190" t="s">
        <v>14</v>
      </c>
      <c r="B19" s="190"/>
      <c r="C19" s="190"/>
      <c r="D19" s="190"/>
      <c r="E19" s="190"/>
      <c r="F19" s="190"/>
      <c r="G19" s="11">
        <v>12</v>
      </c>
      <c r="H19" s="18">
        <f>1779497+2276661</f>
        <v>4056158</v>
      </c>
      <c r="I19" s="18">
        <f>1750219+2334650</f>
        <v>4084869</v>
      </c>
    </row>
    <row r="20" spans="1:9" ht="12.75" customHeight="1" x14ac:dyDescent="0.2">
      <c r="A20" s="190" t="s">
        <v>15</v>
      </c>
      <c r="B20" s="190"/>
      <c r="C20" s="190"/>
      <c r="D20" s="190"/>
      <c r="E20" s="190"/>
      <c r="F20" s="190"/>
      <c r="G20" s="11">
        <v>13</v>
      </c>
      <c r="H20" s="18">
        <v>30611574</v>
      </c>
      <c r="I20" s="18">
        <v>32279216</v>
      </c>
    </row>
    <row r="21" spans="1:9" ht="12.75" customHeight="1" x14ac:dyDescent="0.2">
      <c r="A21" s="190" t="s">
        <v>16</v>
      </c>
      <c r="B21" s="190"/>
      <c r="C21" s="190"/>
      <c r="D21" s="190"/>
      <c r="E21" s="190"/>
      <c r="F21" s="190"/>
      <c r="G21" s="11">
        <v>14</v>
      </c>
      <c r="H21" s="18">
        <f>85348+81677892+79696</f>
        <v>81842936</v>
      </c>
      <c r="I21" s="18">
        <f>73474327+119149+84143</f>
        <v>73677619</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994610</v>
      </c>
      <c r="I23" s="18">
        <v>2435566</v>
      </c>
    </row>
    <row r="24" spans="1:9" ht="12.75" customHeight="1" x14ac:dyDescent="0.2">
      <c r="A24" s="190" t="s">
        <v>19</v>
      </c>
      <c r="B24" s="190"/>
      <c r="C24" s="190"/>
      <c r="D24" s="190"/>
      <c r="E24" s="190"/>
      <c r="F24" s="190"/>
      <c r="G24" s="11">
        <v>17</v>
      </c>
      <c r="H24" s="18">
        <v>0</v>
      </c>
      <c r="I24" s="18">
        <v>0</v>
      </c>
    </row>
    <row r="25" spans="1:9" ht="12.75" customHeight="1" x14ac:dyDescent="0.2">
      <c r="A25" s="190" t="s">
        <v>20</v>
      </c>
      <c r="B25" s="190"/>
      <c r="C25" s="190"/>
      <c r="D25" s="190"/>
      <c r="E25" s="190"/>
      <c r="F25" s="190"/>
      <c r="G25" s="11">
        <v>18</v>
      </c>
      <c r="H25" s="18">
        <v>330374</v>
      </c>
      <c r="I25" s="18">
        <v>306798</v>
      </c>
    </row>
    <row r="26" spans="1:9" ht="12.75" customHeight="1" x14ac:dyDescent="0.2">
      <c r="A26" s="190" t="s">
        <v>21</v>
      </c>
      <c r="B26" s="190"/>
      <c r="C26" s="190"/>
      <c r="D26" s="190"/>
      <c r="E26" s="190"/>
      <c r="F26" s="190"/>
      <c r="G26" s="11">
        <v>19</v>
      </c>
      <c r="H26" s="18">
        <v>0</v>
      </c>
      <c r="I26" s="18">
        <v>0</v>
      </c>
    </row>
    <row r="27" spans="1:9" ht="12.75" customHeight="1" x14ac:dyDescent="0.2">
      <c r="A27" s="191" t="s">
        <v>22</v>
      </c>
      <c r="B27" s="191"/>
      <c r="C27" s="191"/>
      <c r="D27" s="191"/>
      <c r="E27" s="191"/>
      <c r="F27" s="191"/>
      <c r="G27" s="12">
        <v>20</v>
      </c>
      <c r="H27" s="82">
        <f>SUM(H28:H37)</f>
        <v>13603398</v>
      </c>
      <c r="I27" s="82">
        <f>SUM(I28:I37)</f>
        <v>13298447</v>
      </c>
    </row>
    <row r="28" spans="1:9" ht="12.75" customHeight="1" x14ac:dyDescent="0.2">
      <c r="A28" s="190" t="s">
        <v>23</v>
      </c>
      <c r="B28" s="190"/>
      <c r="C28" s="190"/>
      <c r="D28" s="190"/>
      <c r="E28" s="190"/>
      <c r="F28" s="190"/>
      <c r="G28" s="11">
        <v>21</v>
      </c>
      <c r="H28" s="18">
        <v>346460</v>
      </c>
      <c r="I28" s="18">
        <v>346460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25000</v>
      </c>
      <c r="I34" s="18">
        <v>25000</v>
      </c>
    </row>
    <row r="35" spans="1:9" ht="12.75" customHeight="1" x14ac:dyDescent="0.2">
      <c r="A35" s="190" t="s">
        <v>30</v>
      </c>
      <c r="B35" s="190"/>
      <c r="C35" s="190"/>
      <c r="D35" s="190"/>
      <c r="E35" s="190"/>
      <c r="F35" s="190"/>
      <c r="G35" s="11">
        <v>28</v>
      </c>
      <c r="H35" s="18">
        <v>13231938</v>
      </c>
      <c r="I35" s="18">
        <v>12926987</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52707509</v>
      </c>
      <c r="I38" s="82">
        <f>I39+I40+I41+I42</f>
        <v>53241643</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52707509</v>
      </c>
      <c r="I42" s="18">
        <v>53241643</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76938969</v>
      </c>
      <c r="I44" s="82">
        <f>I45+I53+I60+I70</f>
        <v>79425451</v>
      </c>
    </row>
    <row r="45" spans="1:9" ht="12.75" customHeight="1" x14ac:dyDescent="0.2">
      <c r="A45" s="191" t="s">
        <v>39</v>
      </c>
      <c r="B45" s="191"/>
      <c r="C45" s="191"/>
      <c r="D45" s="191"/>
      <c r="E45" s="191"/>
      <c r="F45" s="191"/>
      <c r="G45" s="12">
        <v>38</v>
      </c>
      <c r="H45" s="82">
        <f>SUM(H46:H52)</f>
        <v>11618566</v>
      </c>
      <c r="I45" s="82">
        <f>SUM(I46:I52)</f>
        <v>11817063</v>
      </c>
    </row>
    <row r="46" spans="1:9" ht="12.75" customHeight="1" x14ac:dyDescent="0.2">
      <c r="A46" s="190" t="s">
        <v>40</v>
      </c>
      <c r="B46" s="190"/>
      <c r="C46" s="190"/>
      <c r="D46" s="190"/>
      <c r="E46" s="190"/>
      <c r="F46" s="190"/>
      <c r="G46" s="11">
        <v>39</v>
      </c>
      <c r="H46" s="18">
        <v>11618566</v>
      </c>
      <c r="I46" s="18">
        <v>11817063</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19218191</v>
      </c>
      <c r="I53" s="82">
        <f>SUM(I54:I59)</f>
        <v>25958393</v>
      </c>
    </row>
    <row r="54" spans="1:9" ht="12.75" customHeight="1" x14ac:dyDescent="0.2">
      <c r="A54" s="190" t="s">
        <v>48</v>
      </c>
      <c r="B54" s="190"/>
      <c r="C54" s="190"/>
      <c r="D54" s="190"/>
      <c r="E54" s="190"/>
      <c r="F54" s="190"/>
      <c r="G54" s="11">
        <v>47</v>
      </c>
      <c r="H54" s="18">
        <v>3842</v>
      </c>
      <c r="I54" s="18">
        <v>3944</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13423764</v>
      </c>
      <c r="I56" s="18">
        <v>23968313</v>
      </c>
    </row>
    <row r="57" spans="1:9" ht="12.75" customHeight="1" x14ac:dyDescent="0.2">
      <c r="A57" s="190" t="s">
        <v>51</v>
      </c>
      <c r="B57" s="190"/>
      <c r="C57" s="190"/>
      <c r="D57" s="190"/>
      <c r="E57" s="190"/>
      <c r="F57" s="190"/>
      <c r="G57" s="11">
        <v>50</v>
      </c>
      <c r="H57" s="18">
        <v>25360</v>
      </c>
      <c r="I57" s="18">
        <v>87123</v>
      </c>
    </row>
    <row r="58" spans="1:9" ht="12.75" customHeight="1" x14ac:dyDescent="0.2">
      <c r="A58" s="190" t="s">
        <v>52</v>
      </c>
      <c r="B58" s="190"/>
      <c r="C58" s="190"/>
      <c r="D58" s="190"/>
      <c r="E58" s="190"/>
      <c r="F58" s="190"/>
      <c r="G58" s="11">
        <v>51</v>
      </c>
      <c r="H58" s="18">
        <v>4050682</v>
      </c>
      <c r="I58" s="18">
        <v>299359</v>
      </c>
    </row>
    <row r="59" spans="1:9" ht="12.75" customHeight="1" x14ac:dyDescent="0.2">
      <c r="A59" s="190" t="s">
        <v>53</v>
      </c>
      <c r="B59" s="190"/>
      <c r="C59" s="190"/>
      <c r="D59" s="190"/>
      <c r="E59" s="190"/>
      <c r="F59" s="190"/>
      <c r="G59" s="11">
        <v>52</v>
      </c>
      <c r="H59" s="18">
        <v>1714543</v>
      </c>
      <c r="I59" s="18">
        <v>1599654</v>
      </c>
    </row>
    <row r="60" spans="1:9" ht="12.75" customHeight="1" x14ac:dyDescent="0.2">
      <c r="A60" s="191" t="s">
        <v>54</v>
      </c>
      <c r="B60" s="191"/>
      <c r="C60" s="191"/>
      <c r="D60" s="191"/>
      <c r="E60" s="191"/>
      <c r="F60" s="191"/>
      <c r="G60" s="12">
        <v>53</v>
      </c>
      <c r="H60" s="82">
        <f>SUM(H61:H69)</f>
        <v>1275703</v>
      </c>
      <c r="I60" s="82">
        <f>SUM(I61:I69)</f>
        <v>2705084</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175000</v>
      </c>
      <c r="I63" s="18">
        <v>100000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25</v>
      </c>
      <c r="I67" s="18">
        <v>25</v>
      </c>
    </row>
    <row r="68" spans="1:9" ht="12.75" customHeight="1" x14ac:dyDescent="0.2">
      <c r="A68" s="190" t="s">
        <v>30</v>
      </c>
      <c r="B68" s="190"/>
      <c r="C68" s="190"/>
      <c r="D68" s="190"/>
      <c r="E68" s="190"/>
      <c r="F68" s="190"/>
      <c r="G68" s="11">
        <v>61</v>
      </c>
      <c r="H68" s="18">
        <v>1100678</v>
      </c>
      <c r="I68" s="18">
        <v>2605059</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44826509</v>
      </c>
      <c r="I70" s="18">
        <v>38944911</v>
      </c>
    </row>
    <row r="71" spans="1:9" ht="12.75" customHeight="1" x14ac:dyDescent="0.2">
      <c r="A71" s="206" t="s">
        <v>58</v>
      </c>
      <c r="B71" s="206"/>
      <c r="C71" s="206"/>
      <c r="D71" s="206"/>
      <c r="E71" s="206"/>
      <c r="F71" s="206"/>
      <c r="G71" s="11">
        <v>64</v>
      </c>
      <c r="H71" s="18">
        <v>2763319</v>
      </c>
      <c r="I71" s="18">
        <v>5661051</v>
      </c>
    </row>
    <row r="72" spans="1:9" ht="12.75" customHeight="1" x14ac:dyDescent="0.2">
      <c r="A72" s="192" t="s">
        <v>304</v>
      </c>
      <c r="B72" s="192"/>
      <c r="C72" s="192"/>
      <c r="D72" s="192"/>
      <c r="E72" s="192"/>
      <c r="F72" s="192"/>
      <c r="G72" s="12">
        <v>65</v>
      </c>
      <c r="H72" s="82">
        <f>H8+H9+H44+H71</f>
        <v>272858815</v>
      </c>
      <c r="I72" s="82">
        <f>I8+I9+I44+I71</f>
        <v>273470261</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354</v>
      </c>
      <c r="B75" s="192"/>
      <c r="C75" s="192"/>
      <c r="D75" s="192"/>
      <c r="E75" s="192"/>
      <c r="F75" s="192"/>
      <c r="G75" s="12">
        <v>67</v>
      </c>
      <c r="H75" s="83">
        <f>H76+H77+H78+H84+H85+H91+H94+H97</f>
        <v>1449249</v>
      </c>
      <c r="I75" s="83">
        <f>I76+I77+I78+I84+I85+I91+I94+I97</f>
        <v>-14439342</v>
      </c>
    </row>
    <row r="76" spans="1:9" ht="12.75" customHeight="1" x14ac:dyDescent="0.2">
      <c r="A76" s="190" t="s">
        <v>61</v>
      </c>
      <c r="B76" s="190"/>
      <c r="C76" s="190"/>
      <c r="D76" s="190"/>
      <c r="E76" s="190"/>
      <c r="F76" s="190"/>
      <c r="G76" s="11">
        <v>68</v>
      </c>
      <c r="H76" s="18">
        <v>92387953</v>
      </c>
      <c r="I76" s="18">
        <v>92387953</v>
      </c>
    </row>
    <row r="77" spans="1:9" ht="12.75" customHeight="1" x14ac:dyDescent="0.2">
      <c r="A77" s="190" t="s">
        <v>62</v>
      </c>
      <c r="B77" s="190"/>
      <c r="C77" s="190"/>
      <c r="D77" s="190"/>
      <c r="E77" s="190"/>
      <c r="F77" s="190"/>
      <c r="G77" s="11">
        <v>69</v>
      </c>
      <c r="H77" s="18">
        <v>0</v>
      </c>
      <c r="I77" s="18">
        <v>0</v>
      </c>
    </row>
    <row r="78" spans="1:9" ht="12.75" customHeight="1" x14ac:dyDescent="0.2">
      <c r="A78" s="191" t="s">
        <v>63</v>
      </c>
      <c r="B78" s="191"/>
      <c r="C78" s="191"/>
      <c r="D78" s="191"/>
      <c r="E78" s="191"/>
      <c r="F78" s="191"/>
      <c r="G78" s="12">
        <v>70</v>
      </c>
      <c r="H78" s="83">
        <f>SUM(H79:H83)</f>
        <v>0</v>
      </c>
      <c r="I78" s="83">
        <f>SUM(I79:I83)</f>
        <v>0</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207" t="s">
        <v>69</v>
      </c>
      <c r="B84" s="207"/>
      <c r="C84" s="207"/>
      <c r="D84" s="207"/>
      <c r="E84" s="207"/>
      <c r="F84" s="207"/>
      <c r="G84" s="42">
        <v>76</v>
      </c>
      <c r="H84" s="43">
        <v>7016033</v>
      </c>
      <c r="I84" s="43">
        <v>7016033</v>
      </c>
    </row>
    <row r="85" spans="1:9" ht="12.75" customHeight="1" x14ac:dyDescent="0.2">
      <c r="A85" s="191" t="s">
        <v>446</v>
      </c>
      <c r="B85" s="191"/>
      <c r="C85" s="191"/>
      <c r="D85" s="191"/>
      <c r="E85" s="191"/>
      <c r="F85" s="191"/>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1" t="s">
        <v>352</v>
      </c>
      <c r="B91" s="191"/>
      <c r="C91" s="191"/>
      <c r="D91" s="191"/>
      <c r="E91" s="191"/>
      <c r="F91" s="191"/>
      <c r="G91" s="12">
        <v>83</v>
      </c>
      <c r="H91" s="82">
        <f>H92-H93</f>
        <v>-78383908</v>
      </c>
      <c r="I91" s="82">
        <f>I92-I93</f>
        <v>-97954737</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78383908</v>
      </c>
      <c r="I93" s="18">
        <f>78383908+19570829</f>
        <v>97954737</v>
      </c>
    </row>
    <row r="94" spans="1:9" ht="12.75" customHeight="1" x14ac:dyDescent="0.2">
      <c r="A94" s="191" t="s">
        <v>353</v>
      </c>
      <c r="B94" s="191"/>
      <c r="C94" s="191"/>
      <c r="D94" s="191"/>
      <c r="E94" s="191"/>
      <c r="F94" s="191"/>
      <c r="G94" s="12">
        <v>86</v>
      </c>
      <c r="H94" s="82">
        <f>H95-H96</f>
        <v>-19570829</v>
      </c>
      <c r="I94" s="82">
        <f>I95-I96</f>
        <v>-15888591</v>
      </c>
    </row>
    <row r="95" spans="1:9" ht="12.75" customHeight="1" x14ac:dyDescent="0.2">
      <c r="A95" s="190" t="s">
        <v>74</v>
      </c>
      <c r="B95" s="190"/>
      <c r="C95" s="190"/>
      <c r="D95" s="190"/>
      <c r="E95" s="190"/>
      <c r="F95" s="190"/>
      <c r="G95" s="11">
        <v>87</v>
      </c>
      <c r="H95" s="18">
        <v>0</v>
      </c>
      <c r="I95" s="18">
        <v>0</v>
      </c>
    </row>
    <row r="96" spans="1:9" ht="12.75" customHeight="1" x14ac:dyDescent="0.2">
      <c r="A96" s="190" t="s">
        <v>75</v>
      </c>
      <c r="B96" s="190"/>
      <c r="C96" s="190"/>
      <c r="D96" s="190"/>
      <c r="E96" s="190"/>
      <c r="F96" s="190"/>
      <c r="G96" s="11">
        <v>88</v>
      </c>
      <c r="H96" s="18">
        <v>19570829</v>
      </c>
      <c r="I96" s="18">
        <v>15888591</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51010773</v>
      </c>
      <c r="I98" s="82">
        <f>SUM(I99:I104)</f>
        <v>48179306</v>
      </c>
    </row>
    <row r="99" spans="1:9" ht="12.75" customHeight="1" x14ac:dyDescent="0.2">
      <c r="A99" s="190" t="s">
        <v>77</v>
      </c>
      <c r="B99" s="190"/>
      <c r="C99" s="190"/>
      <c r="D99" s="190"/>
      <c r="E99" s="190"/>
      <c r="F99" s="190"/>
      <c r="G99" s="11">
        <v>91</v>
      </c>
      <c r="H99" s="18">
        <v>328887</v>
      </c>
      <c r="I99" s="18">
        <v>328887</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1079637</v>
      </c>
      <c r="I101" s="18">
        <v>1079637</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49602249</v>
      </c>
      <c r="I104" s="18">
        <v>46770782</v>
      </c>
    </row>
    <row r="105" spans="1:9" ht="12.75" customHeight="1" x14ac:dyDescent="0.2">
      <c r="A105" s="192" t="s">
        <v>356</v>
      </c>
      <c r="B105" s="192"/>
      <c r="C105" s="192"/>
      <c r="D105" s="192"/>
      <c r="E105" s="192"/>
      <c r="F105" s="192"/>
      <c r="G105" s="12">
        <v>97</v>
      </c>
      <c r="H105" s="82">
        <f>SUM(H106:H116)</f>
        <v>150282420</v>
      </c>
      <c r="I105" s="82">
        <f>SUM(I106:I116)</f>
        <v>146505009</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82592328</v>
      </c>
      <c r="I107" s="18">
        <v>84935175</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7253</v>
      </c>
      <c r="I110" s="18">
        <v>7253</v>
      </c>
    </row>
    <row r="111" spans="1:9" ht="12.75" customHeight="1" x14ac:dyDescent="0.2">
      <c r="A111" s="190" t="s">
        <v>88</v>
      </c>
      <c r="B111" s="190"/>
      <c r="C111" s="190"/>
      <c r="D111" s="190"/>
      <c r="E111" s="190"/>
      <c r="F111" s="190"/>
      <c r="G111" s="11">
        <v>103</v>
      </c>
      <c r="H111" s="18">
        <v>64692722</v>
      </c>
      <c r="I111" s="18">
        <v>58581364</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1540492</v>
      </c>
      <c r="I115" s="18">
        <v>1531592</v>
      </c>
    </row>
    <row r="116" spans="1:9" ht="12.75" customHeight="1" x14ac:dyDescent="0.2">
      <c r="A116" s="190" t="s">
        <v>93</v>
      </c>
      <c r="B116" s="190"/>
      <c r="C116" s="190"/>
      <c r="D116" s="190"/>
      <c r="E116" s="190"/>
      <c r="F116" s="190"/>
      <c r="G116" s="11">
        <v>108</v>
      </c>
      <c r="H116" s="18">
        <v>1449625</v>
      </c>
      <c r="I116" s="18">
        <v>1449625</v>
      </c>
    </row>
    <row r="117" spans="1:9" ht="12.75" customHeight="1" x14ac:dyDescent="0.2">
      <c r="A117" s="192" t="s">
        <v>357</v>
      </c>
      <c r="B117" s="192"/>
      <c r="C117" s="192"/>
      <c r="D117" s="192"/>
      <c r="E117" s="192"/>
      <c r="F117" s="192"/>
      <c r="G117" s="12">
        <v>109</v>
      </c>
      <c r="H117" s="82">
        <f>SUM(H118:H131)</f>
        <v>59080180</v>
      </c>
      <c r="I117" s="82">
        <f>SUM(I118:I131)</f>
        <v>82822495</v>
      </c>
    </row>
    <row r="118" spans="1:9" ht="12.75" customHeight="1" x14ac:dyDescent="0.2">
      <c r="A118" s="190" t="s">
        <v>83</v>
      </c>
      <c r="B118" s="190"/>
      <c r="C118" s="190"/>
      <c r="D118" s="190"/>
      <c r="E118" s="190"/>
      <c r="F118" s="190"/>
      <c r="G118" s="11">
        <v>110</v>
      </c>
      <c r="H118" s="18">
        <v>0</v>
      </c>
      <c r="I118" s="18">
        <v>865</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1991738</v>
      </c>
      <c r="I122" s="18">
        <v>2249738</v>
      </c>
    </row>
    <row r="123" spans="1:9" ht="12.75" customHeight="1" x14ac:dyDescent="0.2">
      <c r="A123" s="190" t="s">
        <v>88</v>
      </c>
      <c r="B123" s="190"/>
      <c r="C123" s="190"/>
      <c r="D123" s="190"/>
      <c r="E123" s="190"/>
      <c r="F123" s="190"/>
      <c r="G123" s="11">
        <v>115</v>
      </c>
      <c r="H123" s="18">
        <v>17990376</v>
      </c>
      <c r="I123" s="18">
        <v>14876447</v>
      </c>
    </row>
    <row r="124" spans="1:9" ht="12.75" customHeight="1" x14ac:dyDescent="0.2">
      <c r="A124" s="190" t="s">
        <v>89</v>
      </c>
      <c r="B124" s="190"/>
      <c r="C124" s="190"/>
      <c r="D124" s="190"/>
      <c r="E124" s="190"/>
      <c r="F124" s="190"/>
      <c r="G124" s="11">
        <v>116</v>
      </c>
      <c r="H124" s="18">
        <v>320965</v>
      </c>
      <c r="I124" s="18">
        <v>308474</v>
      </c>
    </row>
    <row r="125" spans="1:9" ht="12.75" customHeight="1" x14ac:dyDescent="0.2">
      <c r="A125" s="190" t="s">
        <v>90</v>
      </c>
      <c r="B125" s="190"/>
      <c r="C125" s="190"/>
      <c r="D125" s="190"/>
      <c r="E125" s="190"/>
      <c r="F125" s="190"/>
      <c r="G125" s="11">
        <v>117</v>
      </c>
      <c r="H125" s="18">
        <v>15024289</v>
      </c>
      <c r="I125" s="18">
        <v>12716966</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2260475</v>
      </c>
      <c r="I127" s="18">
        <v>2269648</v>
      </c>
    </row>
    <row r="128" spans="1:9" x14ac:dyDescent="0.2">
      <c r="A128" s="190" t="s">
        <v>95</v>
      </c>
      <c r="B128" s="190"/>
      <c r="C128" s="190"/>
      <c r="D128" s="190"/>
      <c r="E128" s="190"/>
      <c r="F128" s="190"/>
      <c r="G128" s="11">
        <v>120</v>
      </c>
      <c r="H128" s="18">
        <v>1959169</v>
      </c>
      <c r="I128" s="18">
        <v>2061217</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f>18763887+769281</f>
        <v>19533168</v>
      </c>
      <c r="I131" s="18">
        <f>47464006+875134</f>
        <v>48339140</v>
      </c>
    </row>
    <row r="132" spans="1:9" ht="22.15" customHeight="1" x14ac:dyDescent="0.2">
      <c r="A132" s="206" t="s">
        <v>99</v>
      </c>
      <c r="B132" s="206"/>
      <c r="C132" s="206"/>
      <c r="D132" s="206"/>
      <c r="E132" s="206"/>
      <c r="F132" s="206"/>
      <c r="G132" s="11">
        <v>124</v>
      </c>
      <c r="H132" s="18">
        <v>11036193</v>
      </c>
      <c r="I132" s="18">
        <v>10402793</v>
      </c>
    </row>
    <row r="133" spans="1:9" ht="12.75" customHeight="1" x14ac:dyDescent="0.2">
      <c r="A133" s="192" t="s">
        <v>358</v>
      </c>
      <c r="B133" s="192"/>
      <c r="C133" s="192"/>
      <c r="D133" s="192"/>
      <c r="E133" s="192"/>
      <c r="F133" s="192"/>
      <c r="G133" s="12">
        <v>125</v>
      </c>
      <c r="H133" s="82">
        <f>H75+H98+H105+H117+H132</f>
        <v>272858815</v>
      </c>
      <c r="I133" s="82">
        <f>I75+I98+I105+I117+I132</f>
        <v>273470261</v>
      </c>
    </row>
    <row r="134" spans="1:9" x14ac:dyDescent="0.2">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topLeftCell="A88" zoomScale="85" zoomScaleNormal="85" zoomScaleSheetLayoutView="110" workbookViewId="0">
      <selection activeCell="J97" sqref="J97"/>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467</v>
      </c>
      <c r="B2" s="213"/>
      <c r="C2" s="213"/>
      <c r="D2" s="213"/>
      <c r="E2" s="213"/>
      <c r="F2" s="213"/>
      <c r="G2" s="213"/>
      <c r="H2" s="213"/>
      <c r="I2" s="213"/>
    </row>
    <row r="3" spans="1:11" x14ac:dyDescent="0.2">
      <c r="A3" s="214" t="s">
        <v>448</v>
      </c>
      <c r="B3" s="215"/>
      <c r="C3" s="215"/>
      <c r="D3" s="215"/>
      <c r="E3" s="215"/>
      <c r="F3" s="215"/>
      <c r="G3" s="215"/>
      <c r="H3" s="215"/>
      <c r="I3" s="215"/>
      <c r="J3" s="216"/>
      <c r="K3" s="216"/>
    </row>
    <row r="4" spans="1:11" x14ac:dyDescent="0.2">
      <c r="A4" s="217" t="s">
        <v>464</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359</v>
      </c>
      <c r="B8" s="224"/>
      <c r="C8" s="224"/>
      <c r="D8" s="224"/>
      <c r="E8" s="224"/>
      <c r="F8" s="224"/>
      <c r="G8" s="12">
        <v>1</v>
      </c>
      <c r="H8" s="48">
        <f>SUM(H9:H13)</f>
        <v>44211170</v>
      </c>
      <c r="I8" s="48">
        <f>SUM(I9:I13)</f>
        <v>44211170</v>
      </c>
      <c r="J8" s="48">
        <f>SUM(J9:J13)</f>
        <v>42900179</v>
      </c>
      <c r="K8" s="48">
        <f>SUM(K9:K13)</f>
        <v>42900179</v>
      </c>
    </row>
    <row r="9" spans="1:11" ht="12.75" customHeight="1" x14ac:dyDescent="0.2">
      <c r="A9" s="190" t="s">
        <v>115</v>
      </c>
      <c r="B9" s="190"/>
      <c r="C9" s="190"/>
      <c r="D9" s="190"/>
      <c r="E9" s="190"/>
      <c r="F9" s="190"/>
      <c r="G9" s="11">
        <v>2</v>
      </c>
      <c r="H9" s="49">
        <v>5721</v>
      </c>
      <c r="I9" s="49">
        <f>+H9</f>
        <v>5721</v>
      </c>
      <c r="J9" s="49">
        <v>5721</v>
      </c>
      <c r="K9" s="49">
        <f>+J9</f>
        <v>5721</v>
      </c>
    </row>
    <row r="10" spans="1:11" ht="12.75" customHeight="1" x14ac:dyDescent="0.2">
      <c r="A10" s="190" t="s">
        <v>116</v>
      </c>
      <c r="B10" s="190"/>
      <c r="C10" s="190"/>
      <c r="D10" s="190"/>
      <c r="E10" s="190"/>
      <c r="F10" s="190"/>
      <c r="G10" s="11">
        <v>3</v>
      </c>
      <c r="H10" s="49">
        <v>40623714</v>
      </c>
      <c r="I10" s="49">
        <f t="shared" ref="I10:I13" si="0">+H10</f>
        <v>40623714</v>
      </c>
      <c r="J10" s="49">
        <v>37367727</v>
      </c>
      <c r="K10" s="49">
        <f t="shared" ref="K10:K13" si="1">+J10</f>
        <v>37367727</v>
      </c>
    </row>
    <row r="11" spans="1:11" ht="12.75" customHeight="1" x14ac:dyDescent="0.2">
      <c r="A11" s="190" t="s">
        <v>117</v>
      </c>
      <c r="B11" s="190"/>
      <c r="C11" s="190"/>
      <c r="D11" s="190"/>
      <c r="E11" s="190"/>
      <c r="F11" s="190"/>
      <c r="G11" s="11">
        <v>4</v>
      </c>
      <c r="H11" s="49">
        <v>0</v>
      </c>
      <c r="I11" s="49">
        <f t="shared" si="0"/>
        <v>0</v>
      </c>
      <c r="J11" s="49">
        <v>0</v>
      </c>
      <c r="K11" s="49">
        <f t="shared" si="1"/>
        <v>0</v>
      </c>
    </row>
    <row r="12" spans="1:11" ht="12.75" customHeight="1" x14ac:dyDescent="0.2">
      <c r="A12" s="190" t="s">
        <v>118</v>
      </c>
      <c r="B12" s="190"/>
      <c r="C12" s="190"/>
      <c r="D12" s="190"/>
      <c r="E12" s="190"/>
      <c r="F12" s="190"/>
      <c r="G12" s="11">
        <v>5</v>
      </c>
      <c r="H12" s="49">
        <v>0</v>
      </c>
      <c r="I12" s="49">
        <f t="shared" si="0"/>
        <v>0</v>
      </c>
      <c r="J12" s="49">
        <v>0</v>
      </c>
      <c r="K12" s="49">
        <f t="shared" si="1"/>
        <v>0</v>
      </c>
    </row>
    <row r="13" spans="1:11" ht="12.75" customHeight="1" x14ac:dyDescent="0.2">
      <c r="A13" s="190" t="s">
        <v>119</v>
      </c>
      <c r="B13" s="190"/>
      <c r="C13" s="190"/>
      <c r="D13" s="190"/>
      <c r="E13" s="190"/>
      <c r="F13" s="190"/>
      <c r="G13" s="11">
        <v>6</v>
      </c>
      <c r="H13" s="49">
        <v>3581735</v>
      </c>
      <c r="I13" s="49">
        <f t="shared" si="0"/>
        <v>3581735</v>
      </c>
      <c r="J13" s="49">
        <v>5526731</v>
      </c>
      <c r="K13" s="49">
        <f t="shared" si="1"/>
        <v>5526731</v>
      </c>
    </row>
    <row r="14" spans="1:11" ht="12.75" customHeight="1" x14ac:dyDescent="0.2">
      <c r="A14" s="224" t="s">
        <v>360</v>
      </c>
      <c r="B14" s="224"/>
      <c r="C14" s="224"/>
      <c r="D14" s="224"/>
      <c r="E14" s="224"/>
      <c r="F14" s="224"/>
      <c r="G14" s="12">
        <v>7</v>
      </c>
      <c r="H14" s="48">
        <f>H15+H16+H20+H24+H25+H26+H29+H36</f>
        <v>54371683</v>
      </c>
      <c r="I14" s="48">
        <f>I15+I16+I20+I24+I25+I26+I29+I36</f>
        <v>54371683</v>
      </c>
      <c r="J14" s="48">
        <f>J15+J16+J20+J24+J25+J26+J29+J36</f>
        <v>58268660</v>
      </c>
      <c r="K14" s="48">
        <f>K15+K16+K20+K24+K25+K26+K29+K36</f>
        <v>58268660</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440</v>
      </c>
      <c r="B16" s="191"/>
      <c r="C16" s="191"/>
      <c r="D16" s="191"/>
      <c r="E16" s="191"/>
      <c r="F16" s="191"/>
      <c r="G16" s="12">
        <v>9</v>
      </c>
      <c r="H16" s="48">
        <f>SUM(H17:H19)</f>
        <v>37453378</v>
      </c>
      <c r="I16" s="48">
        <f>SUM(I17:I19)</f>
        <v>37453378</v>
      </c>
      <c r="J16" s="48">
        <f>SUM(J17:J19)</f>
        <v>35740991</v>
      </c>
      <c r="K16" s="48">
        <f>SUM(K17:K19)</f>
        <v>35740991</v>
      </c>
    </row>
    <row r="17" spans="1:11" ht="12.75" customHeight="1" x14ac:dyDescent="0.2">
      <c r="A17" s="225" t="s">
        <v>120</v>
      </c>
      <c r="B17" s="225"/>
      <c r="C17" s="225"/>
      <c r="D17" s="225"/>
      <c r="E17" s="225"/>
      <c r="F17" s="225"/>
      <c r="G17" s="11">
        <v>10</v>
      </c>
      <c r="H17" s="49">
        <v>10752910</v>
      </c>
      <c r="I17" s="49">
        <f>+H17</f>
        <v>10752910</v>
      </c>
      <c r="J17" s="49">
        <v>9932410</v>
      </c>
      <c r="K17" s="49">
        <f>+J17</f>
        <v>9932410</v>
      </c>
    </row>
    <row r="18" spans="1:11" ht="12.75" customHeight="1" x14ac:dyDescent="0.2">
      <c r="A18" s="225" t="s">
        <v>121</v>
      </c>
      <c r="B18" s="225"/>
      <c r="C18" s="225"/>
      <c r="D18" s="225"/>
      <c r="E18" s="225"/>
      <c r="F18" s="225"/>
      <c r="G18" s="11">
        <v>11</v>
      </c>
      <c r="H18" s="49">
        <v>0</v>
      </c>
      <c r="I18" s="49">
        <v>0</v>
      </c>
      <c r="J18" s="49">
        <v>0</v>
      </c>
      <c r="K18" s="49">
        <f t="shared" ref="K18:K19" si="2">+J18</f>
        <v>0</v>
      </c>
    </row>
    <row r="19" spans="1:11" ht="12.75" customHeight="1" x14ac:dyDescent="0.2">
      <c r="A19" s="225" t="s">
        <v>122</v>
      </c>
      <c r="B19" s="225"/>
      <c r="C19" s="225"/>
      <c r="D19" s="225"/>
      <c r="E19" s="225"/>
      <c r="F19" s="225"/>
      <c r="G19" s="11">
        <v>12</v>
      </c>
      <c r="H19" s="49">
        <v>26700468</v>
      </c>
      <c r="I19" s="49">
        <f>+H19</f>
        <v>26700468</v>
      </c>
      <c r="J19" s="49">
        <v>25808581</v>
      </c>
      <c r="K19" s="49">
        <f t="shared" si="2"/>
        <v>25808581</v>
      </c>
    </row>
    <row r="20" spans="1:11" ht="12.75" customHeight="1" x14ac:dyDescent="0.2">
      <c r="A20" s="191" t="s">
        <v>441</v>
      </c>
      <c r="B20" s="191"/>
      <c r="C20" s="191"/>
      <c r="D20" s="191"/>
      <c r="E20" s="191"/>
      <c r="F20" s="191"/>
      <c r="G20" s="12">
        <v>13</v>
      </c>
      <c r="H20" s="48">
        <f>SUM(H21:H23)</f>
        <v>9230784</v>
      </c>
      <c r="I20" s="48">
        <f>SUM(I21:I23)</f>
        <v>9230784</v>
      </c>
      <c r="J20" s="48">
        <f>SUM(J21:J23)</f>
        <v>11633743</v>
      </c>
      <c r="K20" s="48">
        <f>SUM(K21:K23)</f>
        <v>11633743</v>
      </c>
    </row>
    <row r="21" spans="1:11" ht="12.75" customHeight="1" x14ac:dyDescent="0.2">
      <c r="A21" s="225" t="s">
        <v>105</v>
      </c>
      <c r="B21" s="225"/>
      <c r="C21" s="225"/>
      <c r="D21" s="225"/>
      <c r="E21" s="225"/>
      <c r="F21" s="225"/>
      <c r="G21" s="11">
        <v>14</v>
      </c>
      <c r="H21" s="49">
        <v>5177785</v>
      </c>
      <c r="I21" s="49">
        <f>+H21</f>
        <v>5177785</v>
      </c>
      <c r="J21" s="49">
        <v>6492377</v>
      </c>
      <c r="K21" s="49">
        <f>+J21</f>
        <v>6492377</v>
      </c>
    </row>
    <row r="22" spans="1:11" ht="12.75" customHeight="1" x14ac:dyDescent="0.2">
      <c r="A22" s="225" t="s">
        <v>106</v>
      </c>
      <c r="B22" s="225"/>
      <c r="C22" s="225"/>
      <c r="D22" s="225"/>
      <c r="E22" s="225"/>
      <c r="F22" s="225"/>
      <c r="G22" s="11">
        <v>15</v>
      </c>
      <c r="H22" s="49">
        <v>2365991</v>
      </c>
      <c r="I22" s="49">
        <f t="shared" ref="I22:I25" si="3">+H22</f>
        <v>2365991</v>
      </c>
      <c r="J22" s="49">
        <v>3024056</v>
      </c>
      <c r="K22" s="49">
        <f t="shared" ref="K22:K25" si="4">+J22</f>
        <v>3024056</v>
      </c>
    </row>
    <row r="23" spans="1:11" ht="12.75" customHeight="1" x14ac:dyDescent="0.2">
      <c r="A23" s="225" t="s">
        <v>107</v>
      </c>
      <c r="B23" s="225"/>
      <c r="C23" s="225"/>
      <c r="D23" s="225"/>
      <c r="E23" s="225"/>
      <c r="F23" s="225"/>
      <c r="G23" s="11">
        <v>16</v>
      </c>
      <c r="H23" s="49">
        <v>1687008</v>
      </c>
      <c r="I23" s="49">
        <f t="shared" si="3"/>
        <v>1687008</v>
      </c>
      <c r="J23" s="49">
        <v>2117310</v>
      </c>
      <c r="K23" s="49">
        <f t="shared" si="4"/>
        <v>2117310</v>
      </c>
    </row>
    <row r="24" spans="1:11" ht="12.75" customHeight="1" x14ac:dyDescent="0.2">
      <c r="A24" s="190" t="s">
        <v>108</v>
      </c>
      <c r="B24" s="190"/>
      <c r="C24" s="190"/>
      <c r="D24" s="190"/>
      <c r="E24" s="190"/>
      <c r="F24" s="190"/>
      <c r="G24" s="11">
        <v>17</v>
      </c>
      <c r="H24" s="49">
        <v>4685810</v>
      </c>
      <c r="I24" s="49">
        <f t="shared" si="3"/>
        <v>4685810</v>
      </c>
      <c r="J24" s="49">
        <v>7814227</v>
      </c>
      <c r="K24" s="49">
        <f t="shared" si="4"/>
        <v>7814227</v>
      </c>
    </row>
    <row r="25" spans="1:11" ht="12.75" customHeight="1" x14ac:dyDescent="0.2">
      <c r="A25" s="190" t="s">
        <v>109</v>
      </c>
      <c r="B25" s="190"/>
      <c r="C25" s="190"/>
      <c r="D25" s="190"/>
      <c r="E25" s="190"/>
      <c r="F25" s="190"/>
      <c r="G25" s="11">
        <v>18</v>
      </c>
      <c r="H25" s="49">
        <v>2835214</v>
      </c>
      <c r="I25" s="49">
        <f t="shared" si="3"/>
        <v>2835214</v>
      </c>
      <c r="J25" s="49">
        <v>2595293</v>
      </c>
      <c r="K25" s="49">
        <f t="shared" si="4"/>
        <v>2595293</v>
      </c>
    </row>
    <row r="26" spans="1:11" ht="12.75" customHeight="1" x14ac:dyDescent="0.2">
      <c r="A26" s="191" t="s">
        <v>442</v>
      </c>
      <c r="B26" s="191"/>
      <c r="C26" s="191"/>
      <c r="D26" s="191"/>
      <c r="E26" s="191"/>
      <c r="F26" s="191"/>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1" t="s">
        <v>443</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166497</v>
      </c>
      <c r="I36" s="49">
        <f>+H36</f>
        <v>166497</v>
      </c>
      <c r="J36" s="49">
        <v>484406</v>
      </c>
      <c r="K36" s="49">
        <f>+J36</f>
        <v>484406</v>
      </c>
    </row>
    <row r="37" spans="1:11" ht="12.75" customHeight="1" x14ac:dyDescent="0.2">
      <c r="A37" s="224" t="s">
        <v>361</v>
      </c>
      <c r="B37" s="224"/>
      <c r="C37" s="224"/>
      <c r="D37" s="224"/>
      <c r="E37" s="224"/>
      <c r="F37" s="224"/>
      <c r="G37" s="12">
        <v>30</v>
      </c>
      <c r="H37" s="48">
        <f>SUM(H38:H47)</f>
        <v>4132908</v>
      </c>
      <c r="I37" s="48">
        <f>SUM(I38:I47)</f>
        <v>4132908</v>
      </c>
      <c r="J37" s="48">
        <f>SUM(J38:J47)</f>
        <v>4983353</v>
      </c>
      <c r="K37" s="48">
        <f>SUM(K38:K47)</f>
        <v>4983353</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1823</v>
      </c>
      <c r="I41" s="49">
        <f>+H41</f>
        <v>1823</v>
      </c>
      <c r="J41" s="49">
        <v>1620</v>
      </c>
      <c r="K41" s="49">
        <f>+J41</f>
        <v>1620</v>
      </c>
    </row>
    <row r="42" spans="1:11" ht="25.15" customHeight="1" x14ac:dyDescent="0.2">
      <c r="A42" s="190" t="s">
        <v>135</v>
      </c>
      <c r="B42" s="190"/>
      <c r="C42" s="190"/>
      <c r="D42" s="190"/>
      <c r="E42" s="190"/>
      <c r="F42" s="190"/>
      <c r="G42" s="11">
        <v>35</v>
      </c>
      <c r="H42" s="49">
        <v>0</v>
      </c>
      <c r="I42" s="49">
        <v>0</v>
      </c>
      <c r="J42" s="49">
        <v>0</v>
      </c>
      <c r="K42" s="49">
        <f t="shared" ref="K42:K47" si="5">+J42</f>
        <v>0</v>
      </c>
    </row>
    <row r="43" spans="1:11" ht="12.75" customHeight="1" x14ac:dyDescent="0.2">
      <c r="A43" s="190" t="s">
        <v>136</v>
      </c>
      <c r="B43" s="190"/>
      <c r="C43" s="190"/>
      <c r="D43" s="190"/>
      <c r="E43" s="190"/>
      <c r="F43" s="190"/>
      <c r="G43" s="11">
        <v>36</v>
      </c>
      <c r="H43" s="49">
        <v>0</v>
      </c>
      <c r="I43" s="49">
        <v>0</v>
      </c>
      <c r="J43" s="49">
        <v>0</v>
      </c>
      <c r="K43" s="49">
        <f t="shared" si="5"/>
        <v>0</v>
      </c>
    </row>
    <row r="44" spans="1:11" ht="12.75" customHeight="1" x14ac:dyDescent="0.2">
      <c r="A44" s="190" t="s">
        <v>137</v>
      </c>
      <c r="B44" s="190"/>
      <c r="C44" s="190"/>
      <c r="D44" s="190"/>
      <c r="E44" s="190"/>
      <c r="F44" s="190"/>
      <c r="G44" s="11">
        <v>37</v>
      </c>
      <c r="H44" s="49">
        <v>648914</v>
      </c>
      <c r="I44" s="49">
        <f>+H44</f>
        <v>648914</v>
      </c>
      <c r="J44" s="49">
        <v>239751</v>
      </c>
      <c r="K44" s="49">
        <f t="shared" si="5"/>
        <v>239751</v>
      </c>
    </row>
    <row r="45" spans="1:11" ht="12.75" customHeight="1" x14ac:dyDescent="0.2">
      <c r="A45" s="190" t="s">
        <v>138</v>
      </c>
      <c r="B45" s="190"/>
      <c r="C45" s="190"/>
      <c r="D45" s="190"/>
      <c r="E45" s="190"/>
      <c r="F45" s="190"/>
      <c r="G45" s="11">
        <v>38</v>
      </c>
      <c r="H45" s="49">
        <v>3482171</v>
      </c>
      <c r="I45" s="49">
        <f>+H45</f>
        <v>3482171</v>
      </c>
      <c r="J45" s="49">
        <f>3756763+140473+294208+550538</f>
        <v>4741982</v>
      </c>
      <c r="K45" s="49">
        <f t="shared" si="5"/>
        <v>4741982</v>
      </c>
    </row>
    <row r="46" spans="1:11" ht="12.75" customHeight="1" x14ac:dyDescent="0.2">
      <c r="A46" s="190" t="s">
        <v>139</v>
      </c>
      <c r="B46" s="190"/>
      <c r="C46" s="190"/>
      <c r="D46" s="190"/>
      <c r="E46" s="190"/>
      <c r="F46" s="190"/>
      <c r="G46" s="11">
        <v>39</v>
      </c>
      <c r="H46" s="49">
        <v>0</v>
      </c>
      <c r="I46" s="49">
        <v>0</v>
      </c>
      <c r="J46" s="49">
        <v>0</v>
      </c>
      <c r="K46" s="49">
        <f t="shared" si="5"/>
        <v>0</v>
      </c>
    </row>
    <row r="47" spans="1:11" ht="12.75" customHeight="1" x14ac:dyDescent="0.2">
      <c r="A47" s="190" t="s">
        <v>140</v>
      </c>
      <c r="B47" s="190"/>
      <c r="C47" s="190"/>
      <c r="D47" s="190"/>
      <c r="E47" s="190"/>
      <c r="F47" s="190"/>
      <c r="G47" s="11">
        <v>40</v>
      </c>
      <c r="H47" s="49">
        <v>0</v>
      </c>
      <c r="I47" s="49">
        <v>0</v>
      </c>
      <c r="J47" s="49">
        <v>0</v>
      </c>
      <c r="K47" s="49">
        <f t="shared" si="5"/>
        <v>0</v>
      </c>
    </row>
    <row r="48" spans="1:11" ht="12.75" customHeight="1" x14ac:dyDescent="0.2">
      <c r="A48" s="224" t="s">
        <v>362</v>
      </c>
      <c r="B48" s="224"/>
      <c r="C48" s="224"/>
      <c r="D48" s="224"/>
      <c r="E48" s="224"/>
      <c r="F48" s="224"/>
      <c r="G48" s="12">
        <v>41</v>
      </c>
      <c r="H48" s="48">
        <f>SUM(H49:H55)</f>
        <v>3896688</v>
      </c>
      <c r="I48" s="48">
        <f>SUM(I49:I55)</f>
        <v>3896688</v>
      </c>
      <c r="J48" s="48">
        <f>SUM(J49:J55)</f>
        <v>5503463</v>
      </c>
      <c r="K48" s="48">
        <f>SUM(K49:K55)</f>
        <v>5503463</v>
      </c>
    </row>
    <row r="49" spans="1:11" ht="25.15" customHeight="1" x14ac:dyDescent="0.2">
      <c r="A49" s="190" t="s">
        <v>141</v>
      </c>
      <c r="B49" s="190"/>
      <c r="C49" s="190"/>
      <c r="D49" s="190"/>
      <c r="E49" s="190"/>
      <c r="F49" s="190"/>
      <c r="G49" s="11">
        <v>42</v>
      </c>
      <c r="H49" s="49">
        <v>385987</v>
      </c>
      <c r="I49" s="49">
        <f>+H49</f>
        <v>385987</v>
      </c>
      <c r="J49" s="49">
        <v>674345</v>
      </c>
      <c r="K49" s="49">
        <f>+J49</f>
        <v>674345</v>
      </c>
    </row>
    <row r="50" spans="1:11" ht="12.75" customHeight="1" x14ac:dyDescent="0.2">
      <c r="A50" s="228" t="s">
        <v>142</v>
      </c>
      <c r="B50" s="228"/>
      <c r="C50" s="228"/>
      <c r="D50" s="228"/>
      <c r="E50" s="228"/>
      <c r="F50" s="228"/>
      <c r="G50" s="11">
        <v>43</v>
      </c>
      <c r="H50" s="49">
        <v>0</v>
      </c>
      <c r="I50" s="49">
        <v>0</v>
      </c>
      <c r="J50" s="49">
        <v>0</v>
      </c>
      <c r="K50" s="49">
        <f t="shared" ref="K50:K59" si="6">+J50</f>
        <v>0</v>
      </c>
    </row>
    <row r="51" spans="1:11" ht="12.75" customHeight="1" x14ac:dyDescent="0.2">
      <c r="A51" s="228" t="s">
        <v>143</v>
      </c>
      <c r="B51" s="228"/>
      <c r="C51" s="228"/>
      <c r="D51" s="228"/>
      <c r="E51" s="228"/>
      <c r="F51" s="228"/>
      <c r="G51" s="11">
        <v>44</v>
      </c>
      <c r="H51" s="49">
        <v>642704</v>
      </c>
      <c r="I51" s="49">
        <f>+H51</f>
        <v>642704</v>
      </c>
      <c r="J51" s="49">
        <v>1707935</v>
      </c>
      <c r="K51" s="49">
        <f t="shared" si="6"/>
        <v>1707935</v>
      </c>
    </row>
    <row r="52" spans="1:11" ht="12.75" customHeight="1" x14ac:dyDescent="0.2">
      <c r="A52" s="228" t="s">
        <v>144</v>
      </c>
      <c r="B52" s="228"/>
      <c r="C52" s="228"/>
      <c r="D52" s="228"/>
      <c r="E52" s="228"/>
      <c r="F52" s="228"/>
      <c r="G52" s="11">
        <v>45</v>
      </c>
      <c r="H52" s="49">
        <v>2867997</v>
      </c>
      <c r="I52" s="49">
        <f>+H52</f>
        <v>2867997</v>
      </c>
      <c r="J52" s="49">
        <v>3121183</v>
      </c>
      <c r="K52" s="49">
        <f t="shared" si="6"/>
        <v>3121183</v>
      </c>
    </row>
    <row r="53" spans="1:11" ht="12.75" customHeight="1" x14ac:dyDescent="0.2">
      <c r="A53" s="228" t="s">
        <v>145</v>
      </c>
      <c r="B53" s="228"/>
      <c r="C53" s="228"/>
      <c r="D53" s="228"/>
      <c r="E53" s="228"/>
      <c r="F53" s="228"/>
      <c r="G53" s="11">
        <v>46</v>
      </c>
      <c r="H53" s="49">
        <v>0</v>
      </c>
      <c r="I53" s="49">
        <v>0</v>
      </c>
      <c r="J53" s="49">
        <v>0</v>
      </c>
      <c r="K53" s="49">
        <f t="shared" si="6"/>
        <v>0</v>
      </c>
    </row>
    <row r="54" spans="1:11" ht="12.75" customHeight="1" x14ac:dyDescent="0.2">
      <c r="A54" s="228" t="s">
        <v>146</v>
      </c>
      <c r="B54" s="228"/>
      <c r="C54" s="228"/>
      <c r="D54" s="228"/>
      <c r="E54" s="228"/>
      <c r="F54" s="228"/>
      <c r="G54" s="11">
        <v>47</v>
      </c>
      <c r="H54" s="49">
        <v>0</v>
      </c>
      <c r="I54" s="49">
        <v>0</v>
      </c>
      <c r="J54" s="49">
        <v>0</v>
      </c>
      <c r="K54" s="49">
        <f t="shared" si="6"/>
        <v>0</v>
      </c>
    </row>
    <row r="55" spans="1:11" ht="12.75" customHeight="1" x14ac:dyDescent="0.2">
      <c r="A55" s="228" t="s">
        <v>147</v>
      </c>
      <c r="B55" s="228"/>
      <c r="C55" s="228"/>
      <c r="D55" s="228"/>
      <c r="E55" s="228"/>
      <c r="F55" s="228"/>
      <c r="G55" s="11">
        <v>48</v>
      </c>
      <c r="H55" s="49">
        <v>0</v>
      </c>
      <c r="I55" s="49">
        <v>0</v>
      </c>
      <c r="J55" s="49">
        <v>0</v>
      </c>
      <c r="K55" s="49">
        <f t="shared" si="6"/>
        <v>0</v>
      </c>
    </row>
    <row r="56" spans="1:11" ht="22.15" customHeight="1" x14ac:dyDescent="0.2">
      <c r="A56" s="230" t="s">
        <v>148</v>
      </c>
      <c r="B56" s="230"/>
      <c r="C56" s="230"/>
      <c r="D56" s="230"/>
      <c r="E56" s="230"/>
      <c r="F56" s="230"/>
      <c r="G56" s="11">
        <v>49</v>
      </c>
      <c r="H56" s="49">
        <v>0</v>
      </c>
      <c r="I56" s="49">
        <v>0</v>
      </c>
      <c r="J56" s="49">
        <v>0</v>
      </c>
      <c r="K56" s="49">
        <f t="shared" si="6"/>
        <v>0</v>
      </c>
    </row>
    <row r="57" spans="1:11" ht="12.75" customHeight="1" x14ac:dyDescent="0.2">
      <c r="A57" s="230" t="s">
        <v>149</v>
      </c>
      <c r="B57" s="230"/>
      <c r="C57" s="230"/>
      <c r="D57" s="230"/>
      <c r="E57" s="230"/>
      <c r="F57" s="230"/>
      <c r="G57" s="11">
        <v>50</v>
      </c>
      <c r="H57" s="49">
        <v>0</v>
      </c>
      <c r="I57" s="49">
        <v>0</v>
      </c>
      <c r="J57" s="49">
        <v>0</v>
      </c>
      <c r="K57" s="49">
        <f t="shared" si="6"/>
        <v>0</v>
      </c>
    </row>
    <row r="58" spans="1:11" ht="24.6" customHeight="1" x14ac:dyDescent="0.2">
      <c r="A58" s="230" t="s">
        <v>150</v>
      </c>
      <c r="B58" s="230"/>
      <c r="C58" s="230"/>
      <c r="D58" s="230"/>
      <c r="E58" s="230"/>
      <c r="F58" s="230"/>
      <c r="G58" s="11">
        <v>51</v>
      </c>
      <c r="H58" s="49">
        <v>0</v>
      </c>
      <c r="I58" s="49">
        <v>0</v>
      </c>
      <c r="J58" s="49">
        <v>0</v>
      </c>
      <c r="K58" s="49">
        <f t="shared" si="6"/>
        <v>0</v>
      </c>
    </row>
    <row r="59" spans="1:11" ht="12.75" customHeight="1" x14ac:dyDescent="0.2">
      <c r="A59" s="230" t="s">
        <v>151</v>
      </c>
      <c r="B59" s="230"/>
      <c r="C59" s="230"/>
      <c r="D59" s="230"/>
      <c r="E59" s="230"/>
      <c r="F59" s="230"/>
      <c r="G59" s="11">
        <v>52</v>
      </c>
      <c r="H59" s="49">
        <v>0</v>
      </c>
      <c r="I59" s="49">
        <v>0</v>
      </c>
      <c r="J59" s="49">
        <v>0</v>
      </c>
      <c r="K59" s="49">
        <f t="shared" si="6"/>
        <v>0</v>
      </c>
    </row>
    <row r="60" spans="1:11" ht="12.75" customHeight="1" x14ac:dyDescent="0.2">
      <c r="A60" s="224" t="s">
        <v>363</v>
      </c>
      <c r="B60" s="224"/>
      <c r="C60" s="224"/>
      <c r="D60" s="224"/>
      <c r="E60" s="224"/>
      <c r="F60" s="224"/>
      <c r="G60" s="12">
        <v>53</v>
      </c>
      <c r="H60" s="48">
        <f>H8+H37+H56+H57</f>
        <v>48344078</v>
      </c>
      <c r="I60" s="48">
        <f t="shared" ref="I60:K60" si="7">I8+I37+I56+I57</f>
        <v>48344078</v>
      </c>
      <c r="J60" s="48">
        <f t="shared" si="7"/>
        <v>47883532</v>
      </c>
      <c r="K60" s="48">
        <f t="shared" si="7"/>
        <v>47883532</v>
      </c>
    </row>
    <row r="61" spans="1:11" ht="12.75" customHeight="1" x14ac:dyDescent="0.2">
      <c r="A61" s="224" t="s">
        <v>364</v>
      </c>
      <c r="B61" s="224"/>
      <c r="C61" s="224"/>
      <c r="D61" s="224"/>
      <c r="E61" s="224"/>
      <c r="F61" s="224"/>
      <c r="G61" s="12">
        <v>54</v>
      </c>
      <c r="H61" s="48">
        <f>H14+H48+H58+H59</f>
        <v>58268371</v>
      </c>
      <c r="I61" s="48">
        <f t="shared" ref="I61:K61" si="8">I14+I48+I58+I59</f>
        <v>58268371</v>
      </c>
      <c r="J61" s="48">
        <f t="shared" si="8"/>
        <v>63772123</v>
      </c>
      <c r="K61" s="48">
        <f t="shared" si="8"/>
        <v>63772123</v>
      </c>
    </row>
    <row r="62" spans="1:11" ht="12.75" customHeight="1" x14ac:dyDescent="0.2">
      <c r="A62" s="224" t="s">
        <v>365</v>
      </c>
      <c r="B62" s="224"/>
      <c r="C62" s="224"/>
      <c r="D62" s="224"/>
      <c r="E62" s="224"/>
      <c r="F62" s="224"/>
      <c r="G62" s="12">
        <v>55</v>
      </c>
      <c r="H62" s="48">
        <f>H60-H61</f>
        <v>-9924293</v>
      </c>
      <c r="I62" s="48">
        <f t="shared" ref="I62:K62" si="9">I60-I61</f>
        <v>-9924293</v>
      </c>
      <c r="J62" s="48">
        <f t="shared" si="9"/>
        <v>-15888591</v>
      </c>
      <c r="K62" s="48">
        <f t="shared" si="9"/>
        <v>-15888591</v>
      </c>
    </row>
    <row r="63" spans="1:11" ht="12.75" customHeight="1" x14ac:dyDescent="0.2">
      <c r="A63" s="229" t="s">
        <v>366</v>
      </c>
      <c r="B63" s="229"/>
      <c r="C63" s="229"/>
      <c r="D63" s="229"/>
      <c r="E63" s="229"/>
      <c r="F63" s="229"/>
      <c r="G63" s="12">
        <v>56</v>
      </c>
      <c r="H63" s="48">
        <f>+IF((H60-H61)&gt;0,(H60-H61),0)</f>
        <v>0</v>
      </c>
      <c r="I63" s="48">
        <f t="shared" ref="I63:K63" si="10">+IF((I60-I61)&gt;0,(I60-I61),0)</f>
        <v>0</v>
      </c>
      <c r="J63" s="48">
        <f t="shared" si="10"/>
        <v>0</v>
      </c>
      <c r="K63" s="48">
        <f t="shared" si="10"/>
        <v>0</v>
      </c>
    </row>
    <row r="64" spans="1:11" ht="12.75" customHeight="1" x14ac:dyDescent="0.2">
      <c r="A64" s="229" t="s">
        <v>367</v>
      </c>
      <c r="B64" s="229"/>
      <c r="C64" s="229"/>
      <c r="D64" s="229"/>
      <c r="E64" s="229"/>
      <c r="F64" s="229"/>
      <c r="G64" s="12">
        <v>57</v>
      </c>
      <c r="H64" s="48">
        <f>+IF((H60-H61)&lt;0,(H60-H61),0)</f>
        <v>-9924293</v>
      </c>
      <c r="I64" s="48">
        <f t="shared" ref="I64:K64" si="11">+IF((I60-I61)&lt;0,(I60-I61),0)</f>
        <v>-9924293</v>
      </c>
      <c r="J64" s="48">
        <f t="shared" si="11"/>
        <v>-15888591</v>
      </c>
      <c r="K64" s="48">
        <f t="shared" si="11"/>
        <v>-15888591</v>
      </c>
    </row>
    <row r="65" spans="1:11" ht="12.75" customHeight="1" x14ac:dyDescent="0.2">
      <c r="A65" s="230" t="s">
        <v>111</v>
      </c>
      <c r="B65" s="230"/>
      <c r="C65" s="230"/>
      <c r="D65" s="230"/>
      <c r="E65" s="230"/>
      <c r="F65" s="230"/>
      <c r="G65" s="11">
        <v>58</v>
      </c>
      <c r="H65" s="49">
        <v>0</v>
      </c>
      <c r="I65" s="49">
        <v>0</v>
      </c>
      <c r="J65" s="49">
        <v>0</v>
      </c>
      <c r="K65" s="49">
        <v>0</v>
      </c>
    </row>
    <row r="66" spans="1:11" ht="12.75" customHeight="1" x14ac:dyDescent="0.2">
      <c r="A66" s="224" t="s">
        <v>368</v>
      </c>
      <c r="B66" s="224"/>
      <c r="C66" s="224"/>
      <c r="D66" s="224"/>
      <c r="E66" s="224"/>
      <c r="F66" s="224"/>
      <c r="G66" s="12">
        <v>59</v>
      </c>
      <c r="H66" s="48">
        <f>H62-H65</f>
        <v>-9924293</v>
      </c>
      <c r="I66" s="48">
        <f t="shared" ref="I66:K66" si="12">I62-I65</f>
        <v>-9924293</v>
      </c>
      <c r="J66" s="48">
        <f t="shared" si="12"/>
        <v>-15888591</v>
      </c>
      <c r="K66" s="48">
        <f t="shared" si="12"/>
        <v>-15888591</v>
      </c>
    </row>
    <row r="67" spans="1:11" ht="12.75" customHeight="1" x14ac:dyDescent="0.2">
      <c r="A67" s="229" t="s">
        <v>369</v>
      </c>
      <c r="B67" s="229"/>
      <c r="C67" s="229"/>
      <c r="D67" s="229"/>
      <c r="E67" s="229"/>
      <c r="F67" s="229"/>
      <c r="G67" s="12">
        <v>60</v>
      </c>
      <c r="H67" s="48">
        <f>+IF((H62-H65)&gt;0,(H62-H65),0)</f>
        <v>0</v>
      </c>
      <c r="I67" s="48">
        <f t="shared" ref="I67:K67" si="13">+IF((I62-I65)&gt;0,(I62-I65),0)</f>
        <v>0</v>
      </c>
      <c r="J67" s="48">
        <f t="shared" si="13"/>
        <v>0</v>
      </c>
      <c r="K67" s="48">
        <f t="shared" si="13"/>
        <v>0</v>
      </c>
    </row>
    <row r="68" spans="1:11" ht="12.75" customHeight="1" x14ac:dyDescent="0.2">
      <c r="A68" s="229" t="s">
        <v>370</v>
      </c>
      <c r="B68" s="229"/>
      <c r="C68" s="229"/>
      <c r="D68" s="229"/>
      <c r="E68" s="229"/>
      <c r="F68" s="229"/>
      <c r="G68" s="12">
        <v>61</v>
      </c>
      <c r="H68" s="48">
        <f>+IF((H62-H65)&lt;0,(H62-H65),0)</f>
        <v>-9924293</v>
      </c>
      <c r="I68" s="48">
        <f t="shared" ref="I68:K68" si="14">+IF((I62-I65)&lt;0,(I62-I65),0)</f>
        <v>-9924293</v>
      </c>
      <c r="J68" s="48">
        <f t="shared" si="14"/>
        <v>-15888591</v>
      </c>
      <c r="K68" s="48">
        <f t="shared" si="14"/>
        <v>-15888591</v>
      </c>
    </row>
    <row r="69" spans="1:11" x14ac:dyDescent="0.2">
      <c r="A69" s="231" t="s">
        <v>152</v>
      </c>
      <c r="B69" s="231"/>
      <c r="C69" s="231"/>
      <c r="D69" s="231"/>
      <c r="E69" s="231"/>
      <c r="F69" s="231"/>
      <c r="G69" s="232"/>
      <c r="H69" s="232"/>
      <c r="I69" s="232"/>
      <c r="J69" s="233"/>
      <c r="K69" s="233"/>
    </row>
    <row r="70" spans="1:11" ht="22.15" customHeight="1" x14ac:dyDescent="0.2">
      <c r="A70" s="224" t="s">
        <v>371</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f>+J71</f>
        <v>0</v>
      </c>
    </row>
    <row r="72" spans="1:11" ht="12.75" customHeight="1" x14ac:dyDescent="0.2">
      <c r="A72" s="228" t="s">
        <v>154</v>
      </c>
      <c r="B72" s="228"/>
      <c r="C72" s="228"/>
      <c r="D72" s="228"/>
      <c r="E72" s="228"/>
      <c r="F72" s="228"/>
      <c r="G72" s="11">
        <v>64</v>
      </c>
      <c r="H72" s="49">
        <v>0</v>
      </c>
      <c r="I72" s="49">
        <v>0</v>
      </c>
      <c r="J72" s="49">
        <v>0</v>
      </c>
      <c r="K72" s="49">
        <f t="shared" ref="K72:K73" si="15">+J72</f>
        <v>0</v>
      </c>
    </row>
    <row r="73" spans="1:11" ht="12.75" customHeight="1" x14ac:dyDescent="0.2">
      <c r="A73" s="230" t="s">
        <v>155</v>
      </c>
      <c r="B73" s="230"/>
      <c r="C73" s="230"/>
      <c r="D73" s="230"/>
      <c r="E73" s="230"/>
      <c r="F73" s="230"/>
      <c r="G73" s="11">
        <v>65</v>
      </c>
      <c r="H73" s="49">
        <v>0</v>
      </c>
      <c r="I73" s="49">
        <v>0</v>
      </c>
      <c r="J73" s="49">
        <v>0</v>
      </c>
      <c r="K73" s="49">
        <f t="shared" si="15"/>
        <v>0</v>
      </c>
    </row>
    <row r="74" spans="1:11" ht="12.75" customHeight="1" x14ac:dyDescent="0.2">
      <c r="A74" s="229" t="s">
        <v>372</v>
      </c>
      <c r="B74" s="229"/>
      <c r="C74" s="229"/>
      <c r="D74" s="229"/>
      <c r="E74" s="229"/>
      <c r="F74" s="229"/>
      <c r="G74" s="12">
        <v>66</v>
      </c>
      <c r="H74" s="71">
        <v>0</v>
      </c>
      <c r="I74" s="71">
        <v>0</v>
      </c>
      <c r="J74" s="71">
        <v>0</v>
      </c>
      <c r="K74" s="71">
        <v>0</v>
      </c>
    </row>
    <row r="75" spans="1:11" ht="12.75" customHeight="1" x14ac:dyDescent="0.2">
      <c r="A75" s="229" t="s">
        <v>373</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374</v>
      </c>
      <c r="B77" s="224"/>
      <c r="C77" s="224"/>
      <c r="D77" s="224"/>
      <c r="E77" s="224"/>
      <c r="F77" s="224"/>
      <c r="G77" s="12">
        <v>68</v>
      </c>
      <c r="H77" s="71">
        <v>0</v>
      </c>
      <c r="I77" s="71">
        <v>0</v>
      </c>
      <c r="J77" s="71">
        <v>0</v>
      </c>
      <c r="K77" s="71">
        <v>0</v>
      </c>
    </row>
    <row r="78" spans="1:11" ht="12.75" customHeight="1" x14ac:dyDescent="0.2">
      <c r="A78" s="234" t="s">
        <v>375</v>
      </c>
      <c r="B78" s="234"/>
      <c r="C78" s="234"/>
      <c r="D78" s="234"/>
      <c r="E78" s="234"/>
      <c r="F78" s="234"/>
      <c r="G78" s="42">
        <v>69</v>
      </c>
      <c r="H78" s="50">
        <v>0</v>
      </c>
      <c r="I78" s="50">
        <v>0</v>
      </c>
      <c r="J78" s="50">
        <v>0</v>
      </c>
      <c r="K78" s="50">
        <v>0</v>
      </c>
    </row>
    <row r="79" spans="1:11" ht="12.75" customHeight="1" x14ac:dyDescent="0.2">
      <c r="A79" s="234" t="s">
        <v>376</v>
      </c>
      <c r="B79" s="234"/>
      <c r="C79" s="234"/>
      <c r="D79" s="234"/>
      <c r="E79" s="234"/>
      <c r="F79" s="234"/>
      <c r="G79" s="42">
        <v>70</v>
      </c>
      <c r="H79" s="50">
        <v>0</v>
      </c>
      <c r="I79" s="50">
        <v>0</v>
      </c>
      <c r="J79" s="50">
        <v>0</v>
      </c>
      <c r="K79" s="50">
        <v>0</v>
      </c>
    </row>
    <row r="80" spans="1:11" ht="12.75" customHeight="1" x14ac:dyDescent="0.2">
      <c r="A80" s="224" t="s">
        <v>377</v>
      </c>
      <c r="B80" s="224"/>
      <c r="C80" s="224"/>
      <c r="D80" s="224"/>
      <c r="E80" s="224"/>
      <c r="F80" s="224"/>
      <c r="G80" s="12">
        <v>71</v>
      </c>
      <c r="H80" s="71">
        <v>0</v>
      </c>
      <c r="I80" s="71">
        <v>0</v>
      </c>
      <c r="J80" s="71">
        <v>0</v>
      </c>
      <c r="K80" s="71">
        <v>0</v>
      </c>
    </row>
    <row r="81" spans="1:11" ht="12.75" customHeight="1" x14ac:dyDescent="0.2">
      <c r="A81" s="224" t="s">
        <v>378</v>
      </c>
      <c r="B81" s="224"/>
      <c r="C81" s="224"/>
      <c r="D81" s="224"/>
      <c r="E81" s="224"/>
      <c r="F81" s="224"/>
      <c r="G81" s="12">
        <v>72</v>
      </c>
      <c r="H81" s="71">
        <v>0</v>
      </c>
      <c r="I81" s="71">
        <v>0</v>
      </c>
      <c r="J81" s="71">
        <v>0</v>
      </c>
      <c r="K81" s="71">
        <v>0</v>
      </c>
    </row>
    <row r="82" spans="1:11" ht="12.75" customHeight="1" x14ac:dyDescent="0.2">
      <c r="A82" s="229" t="s">
        <v>379</v>
      </c>
      <c r="B82" s="229"/>
      <c r="C82" s="229"/>
      <c r="D82" s="229"/>
      <c r="E82" s="229"/>
      <c r="F82" s="229"/>
      <c r="G82" s="12">
        <v>73</v>
      </c>
      <c r="H82" s="71">
        <v>0</v>
      </c>
      <c r="I82" s="71">
        <v>0</v>
      </c>
      <c r="J82" s="71">
        <v>0</v>
      </c>
      <c r="K82" s="71">
        <v>0</v>
      </c>
    </row>
    <row r="83" spans="1:11" ht="12.75" customHeight="1" x14ac:dyDescent="0.2">
      <c r="A83" s="229" t="s">
        <v>380</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381</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f t="shared" ref="H89:I89" si="16">H66</f>
        <v>-9924293</v>
      </c>
      <c r="I89" s="52">
        <f t="shared" si="16"/>
        <v>-9924293</v>
      </c>
      <c r="J89" s="52">
        <v>-15888591</v>
      </c>
      <c r="K89" s="52">
        <f>+J89</f>
        <v>-15888591</v>
      </c>
    </row>
    <row r="90" spans="1:11" ht="24" customHeight="1" x14ac:dyDescent="0.2">
      <c r="A90" s="192" t="s">
        <v>437</v>
      </c>
      <c r="B90" s="192"/>
      <c r="C90" s="192"/>
      <c r="D90" s="192"/>
      <c r="E90" s="192"/>
      <c r="F90" s="192"/>
      <c r="G90" s="12">
        <v>79</v>
      </c>
      <c r="H90" s="69">
        <f>H91+H98</f>
        <v>-63476</v>
      </c>
      <c r="I90" s="69">
        <f>I91+I98</f>
        <v>-63476</v>
      </c>
      <c r="J90" s="69">
        <f t="shared" ref="J90:K90" si="17">J91+J98</f>
        <v>0</v>
      </c>
      <c r="K90" s="69">
        <f t="shared" si="17"/>
        <v>0</v>
      </c>
    </row>
    <row r="91" spans="1:11" ht="24" customHeight="1" x14ac:dyDescent="0.2">
      <c r="A91" s="239" t="s">
        <v>444</v>
      </c>
      <c r="B91" s="239"/>
      <c r="C91" s="239"/>
      <c r="D91" s="239"/>
      <c r="E91" s="239"/>
      <c r="F91" s="239"/>
      <c r="G91" s="12">
        <v>80</v>
      </c>
      <c r="H91" s="69">
        <f>SUM(H92:H96)</f>
        <v>0</v>
      </c>
      <c r="I91" s="69">
        <f>SUM(I92:I96)</f>
        <v>0</v>
      </c>
      <c r="J91" s="69">
        <f t="shared" ref="J91:K91" si="18">SUM(J92:J96)</f>
        <v>0</v>
      </c>
      <c r="K91" s="69">
        <f t="shared" si="18"/>
        <v>0</v>
      </c>
    </row>
    <row r="92" spans="1:11" ht="25.5" customHeight="1" x14ac:dyDescent="0.2">
      <c r="A92" s="228" t="s">
        <v>382</v>
      </c>
      <c r="B92" s="228"/>
      <c r="C92" s="228"/>
      <c r="D92" s="228"/>
      <c r="E92" s="228"/>
      <c r="F92" s="228"/>
      <c r="G92" s="12">
        <v>81</v>
      </c>
      <c r="H92" s="52">
        <v>0</v>
      </c>
      <c r="I92" s="52">
        <v>0</v>
      </c>
      <c r="J92" s="52">
        <v>0</v>
      </c>
      <c r="K92" s="52">
        <f>+J92</f>
        <v>0</v>
      </c>
    </row>
    <row r="93" spans="1:11" ht="38.25" customHeight="1" x14ac:dyDescent="0.2">
      <c r="A93" s="228" t="s">
        <v>383</v>
      </c>
      <c r="B93" s="228"/>
      <c r="C93" s="228"/>
      <c r="D93" s="228"/>
      <c r="E93" s="228"/>
      <c r="F93" s="228"/>
      <c r="G93" s="12">
        <v>82</v>
      </c>
      <c r="H93" s="52">
        <v>0</v>
      </c>
      <c r="I93" s="52">
        <v>0</v>
      </c>
      <c r="J93" s="52">
        <v>0</v>
      </c>
      <c r="K93" s="52">
        <f t="shared" ref="K93:K97" si="19">+J93</f>
        <v>0</v>
      </c>
    </row>
    <row r="94" spans="1:11" ht="38.25" customHeight="1" x14ac:dyDescent="0.2">
      <c r="A94" s="228" t="s">
        <v>384</v>
      </c>
      <c r="B94" s="228"/>
      <c r="C94" s="228"/>
      <c r="D94" s="228"/>
      <c r="E94" s="228"/>
      <c r="F94" s="228"/>
      <c r="G94" s="12">
        <v>83</v>
      </c>
      <c r="H94" s="52">
        <v>0</v>
      </c>
      <c r="I94" s="52">
        <v>0</v>
      </c>
      <c r="J94" s="52">
        <v>0</v>
      </c>
      <c r="K94" s="52">
        <f t="shared" si="19"/>
        <v>0</v>
      </c>
    </row>
    <row r="95" spans="1:11" x14ac:dyDescent="0.2">
      <c r="A95" s="228" t="s">
        <v>385</v>
      </c>
      <c r="B95" s="228"/>
      <c r="C95" s="228"/>
      <c r="D95" s="228"/>
      <c r="E95" s="228"/>
      <c r="F95" s="228"/>
      <c r="G95" s="12">
        <v>84</v>
      </c>
      <c r="H95" s="52">
        <v>0</v>
      </c>
      <c r="I95" s="52">
        <v>0</v>
      </c>
      <c r="J95" s="52">
        <v>0</v>
      </c>
      <c r="K95" s="52">
        <f t="shared" si="19"/>
        <v>0</v>
      </c>
    </row>
    <row r="96" spans="1:11" x14ac:dyDescent="0.2">
      <c r="A96" s="228" t="s">
        <v>386</v>
      </c>
      <c r="B96" s="228"/>
      <c r="C96" s="228"/>
      <c r="D96" s="228"/>
      <c r="E96" s="228"/>
      <c r="F96" s="228"/>
      <c r="G96" s="12">
        <v>85</v>
      </c>
      <c r="H96" s="52">
        <v>0</v>
      </c>
      <c r="I96" s="52">
        <v>0</v>
      </c>
      <c r="J96" s="52">
        <v>0</v>
      </c>
      <c r="K96" s="52">
        <f t="shared" si="19"/>
        <v>0</v>
      </c>
    </row>
    <row r="97" spans="1:11" ht="26.25" customHeight="1" x14ac:dyDescent="0.2">
      <c r="A97" s="228" t="s">
        <v>387</v>
      </c>
      <c r="B97" s="228"/>
      <c r="C97" s="228"/>
      <c r="D97" s="228"/>
      <c r="E97" s="228"/>
      <c r="F97" s="228"/>
      <c r="G97" s="12">
        <v>86</v>
      </c>
      <c r="H97" s="52">
        <v>0</v>
      </c>
      <c r="I97" s="52">
        <v>0</v>
      </c>
      <c r="J97" s="52">
        <v>1449625</v>
      </c>
      <c r="K97" s="52">
        <f t="shared" si="19"/>
        <v>1449625</v>
      </c>
    </row>
    <row r="98" spans="1:11" ht="25.5" customHeight="1" x14ac:dyDescent="0.2">
      <c r="A98" s="239" t="s">
        <v>438</v>
      </c>
      <c r="B98" s="239"/>
      <c r="C98" s="239"/>
      <c r="D98" s="239"/>
      <c r="E98" s="239"/>
      <c r="F98" s="239"/>
      <c r="G98" s="12">
        <v>87</v>
      </c>
      <c r="H98" s="69">
        <f>SUM(H99:H106)</f>
        <v>-63476</v>
      </c>
      <c r="I98" s="69">
        <f>SUM(I99:I106)</f>
        <v>-63476</v>
      </c>
      <c r="J98" s="69">
        <f t="shared" ref="J98:K98" si="20">SUM(J99:J106)</f>
        <v>0</v>
      </c>
      <c r="K98" s="69">
        <f t="shared" si="20"/>
        <v>0</v>
      </c>
    </row>
    <row r="99" spans="1:11" x14ac:dyDescent="0.2">
      <c r="A99" s="240" t="s">
        <v>160</v>
      </c>
      <c r="B99" s="240"/>
      <c r="C99" s="240"/>
      <c r="D99" s="240"/>
      <c r="E99" s="240"/>
      <c r="F99" s="240"/>
      <c r="G99" s="11">
        <v>88</v>
      </c>
      <c r="H99" s="52">
        <v>0</v>
      </c>
      <c r="I99" s="52">
        <v>0</v>
      </c>
      <c r="J99" s="52">
        <v>0</v>
      </c>
      <c r="K99" s="52">
        <f>+J99</f>
        <v>0</v>
      </c>
    </row>
    <row r="100" spans="1:11" ht="36" customHeight="1" x14ac:dyDescent="0.2">
      <c r="A100" s="228" t="s">
        <v>388</v>
      </c>
      <c r="B100" s="228"/>
      <c r="C100" s="228"/>
      <c r="D100" s="228"/>
      <c r="E100" s="228"/>
      <c r="F100" s="228"/>
      <c r="G100" s="11">
        <v>89</v>
      </c>
      <c r="H100" s="52">
        <v>0</v>
      </c>
      <c r="I100" s="52">
        <v>0</v>
      </c>
      <c r="J100" s="52">
        <v>0</v>
      </c>
      <c r="K100" s="52">
        <f t="shared" ref="K100:K107" si="21">+J100</f>
        <v>0</v>
      </c>
    </row>
    <row r="101" spans="1:11" ht="22.15" customHeight="1" x14ac:dyDescent="0.2">
      <c r="A101" s="240" t="s">
        <v>161</v>
      </c>
      <c r="B101" s="240"/>
      <c r="C101" s="240"/>
      <c r="D101" s="240"/>
      <c r="E101" s="240"/>
      <c r="F101" s="240"/>
      <c r="G101" s="11">
        <v>90</v>
      </c>
      <c r="H101" s="52">
        <v>0</v>
      </c>
      <c r="I101" s="52">
        <v>0</v>
      </c>
      <c r="J101" s="52">
        <v>0</v>
      </c>
      <c r="K101" s="52">
        <f t="shared" si="21"/>
        <v>0</v>
      </c>
    </row>
    <row r="102" spans="1:11" ht="22.15" customHeight="1" x14ac:dyDescent="0.2">
      <c r="A102" s="240" t="s">
        <v>162</v>
      </c>
      <c r="B102" s="240"/>
      <c r="C102" s="240"/>
      <c r="D102" s="240"/>
      <c r="E102" s="240"/>
      <c r="F102" s="240"/>
      <c r="G102" s="11">
        <v>91</v>
      </c>
      <c r="H102" s="52">
        <v>0</v>
      </c>
      <c r="I102" s="52">
        <v>0</v>
      </c>
      <c r="J102" s="52">
        <v>0</v>
      </c>
      <c r="K102" s="52">
        <f t="shared" si="21"/>
        <v>0</v>
      </c>
    </row>
    <row r="103" spans="1:11" ht="22.15" customHeight="1" x14ac:dyDescent="0.2">
      <c r="A103" s="240" t="s">
        <v>163</v>
      </c>
      <c r="B103" s="240"/>
      <c r="C103" s="240"/>
      <c r="D103" s="240"/>
      <c r="E103" s="240"/>
      <c r="F103" s="240"/>
      <c r="G103" s="11">
        <v>92</v>
      </c>
      <c r="H103" s="52">
        <v>0</v>
      </c>
      <c r="I103" s="52">
        <v>0</v>
      </c>
      <c r="J103" s="52">
        <v>0</v>
      </c>
      <c r="K103" s="52">
        <f t="shared" si="21"/>
        <v>0</v>
      </c>
    </row>
    <row r="104" spans="1:11" ht="12.75" customHeight="1" x14ac:dyDescent="0.2">
      <c r="A104" s="228" t="s">
        <v>389</v>
      </c>
      <c r="B104" s="228"/>
      <c r="C104" s="228"/>
      <c r="D104" s="228"/>
      <c r="E104" s="228"/>
      <c r="F104" s="228"/>
      <c r="G104" s="11">
        <v>93</v>
      </c>
      <c r="H104" s="52">
        <v>0</v>
      </c>
      <c r="I104" s="52">
        <v>0</v>
      </c>
      <c r="J104" s="52">
        <v>0</v>
      </c>
      <c r="K104" s="52">
        <f t="shared" si="21"/>
        <v>0</v>
      </c>
    </row>
    <row r="105" spans="1:11" ht="26.25" customHeight="1" x14ac:dyDescent="0.2">
      <c r="A105" s="228" t="s">
        <v>390</v>
      </c>
      <c r="B105" s="228"/>
      <c r="C105" s="228"/>
      <c r="D105" s="228"/>
      <c r="E105" s="228"/>
      <c r="F105" s="228"/>
      <c r="G105" s="11">
        <v>94</v>
      </c>
      <c r="H105" s="52">
        <v>0</v>
      </c>
      <c r="I105" s="52">
        <v>0</v>
      </c>
      <c r="J105" s="52">
        <v>0</v>
      </c>
      <c r="K105" s="52">
        <f t="shared" si="21"/>
        <v>0</v>
      </c>
    </row>
    <row r="106" spans="1:11" x14ac:dyDescent="0.2">
      <c r="A106" s="228" t="s">
        <v>391</v>
      </c>
      <c r="B106" s="228"/>
      <c r="C106" s="228"/>
      <c r="D106" s="228"/>
      <c r="E106" s="228"/>
      <c r="F106" s="228"/>
      <c r="G106" s="11">
        <v>95</v>
      </c>
      <c r="H106" s="52">
        <v>-63476</v>
      </c>
      <c r="I106" s="52">
        <f>+H106</f>
        <v>-63476</v>
      </c>
      <c r="J106" s="52">
        <v>0</v>
      </c>
      <c r="K106" s="52">
        <v>0</v>
      </c>
    </row>
    <row r="107" spans="1:11" ht="24.75" customHeight="1" x14ac:dyDescent="0.2">
      <c r="A107" s="228" t="s">
        <v>392</v>
      </c>
      <c r="B107" s="228"/>
      <c r="C107" s="228"/>
      <c r="D107" s="228"/>
      <c r="E107" s="228"/>
      <c r="F107" s="228"/>
      <c r="G107" s="11">
        <v>96</v>
      </c>
      <c r="H107" s="52">
        <v>0</v>
      </c>
      <c r="I107" s="52">
        <v>0</v>
      </c>
      <c r="J107" s="52">
        <v>0</v>
      </c>
      <c r="K107" s="52">
        <f t="shared" si="21"/>
        <v>0</v>
      </c>
    </row>
    <row r="108" spans="1:11" ht="22.9" customHeight="1" x14ac:dyDescent="0.2">
      <c r="A108" s="192" t="s">
        <v>439</v>
      </c>
      <c r="B108" s="192"/>
      <c r="C108" s="192"/>
      <c r="D108" s="192"/>
      <c r="E108" s="192"/>
      <c r="F108" s="192"/>
      <c r="G108" s="12">
        <v>97</v>
      </c>
      <c r="H108" s="69">
        <f>H91+H98-H107-H97</f>
        <v>-63476</v>
      </c>
      <c r="I108" s="69">
        <f>I91+I98-I107-I97</f>
        <v>-63476</v>
      </c>
      <c r="J108" s="69">
        <f t="shared" ref="J108:K108" si="22">J91+J98-J107-J97</f>
        <v>-1449625</v>
      </c>
      <c r="K108" s="69">
        <f t="shared" si="22"/>
        <v>-1449625</v>
      </c>
    </row>
    <row r="109" spans="1:11" ht="12.75" customHeight="1" x14ac:dyDescent="0.2">
      <c r="A109" s="192" t="s">
        <v>393</v>
      </c>
      <c r="B109" s="192"/>
      <c r="C109" s="192"/>
      <c r="D109" s="192"/>
      <c r="E109" s="192"/>
      <c r="F109" s="192"/>
      <c r="G109" s="12">
        <v>98</v>
      </c>
      <c r="H109" s="51">
        <f>H89+H108</f>
        <v>-9987769</v>
      </c>
      <c r="I109" s="51">
        <f>I89+I108</f>
        <v>-9987769</v>
      </c>
      <c r="J109" s="51">
        <f t="shared" ref="J109:K109" si="23">J89+J108</f>
        <v>-17338216</v>
      </c>
      <c r="K109" s="51">
        <f t="shared" si="23"/>
        <v>-17338216</v>
      </c>
    </row>
    <row r="110" spans="1:11" x14ac:dyDescent="0.2">
      <c r="A110" s="231" t="s">
        <v>164</v>
      </c>
      <c r="B110" s="231"/>
      <c r="C110" s="231"/>
      <c r="D110" s="231"/>
      <c r="E110" s="231"/>
      <c r="F110" s="231"/>
      <c r="G110" s="232"/>
      <c r="H110" s="232"/>
      <c r="I110" s="232"/>
      <c r="J110" s="233"/>
      <c r="K110" s="233"/>
    </row>
    <row r="111" spans="1:11" ht="12.75" customHeight="1" x14ac:dyDescent="0.2">
      <c r="A111" s="235" t="s">
        <v>394</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9" zoomScaleNormal="100" zoomScaleSheetLayoutView="85" workbookViewId="0">
      <selection activeCell="N24" sqref="N24"/>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468</v>
      </c>
      <c r="B2" s="196"/>
      <c r="C2" s="196"/>
      <c r="D2" s="196"/>
      <c r="E2" s="196"/>
      <c r="F2" s="196"/>
      <c r="G2" s="196"/>
      <c r="H2" s="196"/>
      <c r="I2" s="196"/>
    </row>
    <row r="3" spans="1:9" x14ac:dyDescent="0.2">
      <c r="A3" s="245" t="s">
        <v>448</v>
      </c>
      <c r="B3" s="246"/>
      <c r="C3" s="246"/>
      <c r="D3" s="246"/>
      <c r="E3" s="246"/>
      <c r="F3" s="246"/>
      <c r="G3" s="246"/>
      <c r="H3" s="246"/>
      <c r="I3" s="246"/>
    </row>
    <row r="4" spans="1:9" x14ac:dyDescent="0.2">
      <c r="A4" s="244" t="s">
        <v>465</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-9924293</v>
      </c>
      <c r="I8" s="64">
        <v>-15888591</v>
      </c>
    </row>
    <row r="9" spans="1:9" ht="12.75" customHeight="1" x14ac:dyDescent="0.2">
      <c r="A9" s="248" t="s">
        <v>171</v>
      </c>
      <c r="B9" s="248"/>
      <c r="C9" s="248"/>
      <c r="D9" s="248"/>
      <c r="E9" s="248"/>
      <c r="F9" s="248"/>
      <c r="G9" s="65">
        <v>2</v>
      </c>
      <c r="H9" s="66">
        <f>H10+H11+H12+H13+H14+H15+H16+H17</f>
        <v>-160857</v>
      </c>
      <c r="I9" s="66">
        <f>I10+I11+I12+I13+I14+I15+I16+I17</f>
        <v>10767032</v>
      </c>
    </row>
    <row r="10" spans="1:9" ht="12.75" customHeight="1" x14ac:dyDescent="0.2">
      <c r="A10" s="225" t="s">
        <v>172</v>
      </c>
      <c r="B10" s="225"/>
      <c r="C10" s="225"/>
      <c r="D10" s="225"/>
      <c r="E10" s="225"/>
      <c r="F10" s="225"/>
      <c r="G10" s="63">
        <v>3</v>
      </c>
      <c r="H10" s="64">
        <v>4685810</v>
      </c>
      <c r="I10" s="64">
        <v>7814227</v>
      </c>
    </row>
    <row r="11" spans="1:9" ht="22.15" customHeight="1" x14ac:dyDescent="0.2">
      <c r="A11" s="225" t="s">
        <v>173</v>
      </c>
      <c r="B11" s="225"/>
      <c r="C11" s="225"/>
      <c r="D11" s="225"/>
      <c r="E11" s="225"/>
      <c r="F11" s="225"/>
      <c r="G11" s="63">
        <v>4</v>
      </c>
      <c r="H11" s="64">
        <v>-2961</v>
      </c>
      <c r="I11" s="64">
        <v>-1749</v>
      </c>
    </row>
    <row r="12" spans="1:9" ht="23.45" customHeight="1" x14ac:dyDescent="0.2">
      <c r="A12" s="225" t="s">
        <v>174</v>
      </c>
      <c r="B12" s="225"/>
      <c r="C12" s="225"/>
      <c r="D12" s="225"/>
      <c r="E12" s="225"/>
      <c r="F12" s="225"/>
      <c r="G12" s="63">
        <v>5</v>
      </c>
      <c r="H12" s="64">
        <v>0</v>
      </c>
      <c r="I12" s="64">
        <v>0</v>
      </c>
    </row>
    <row r="13" spans="1:9" ht="12.75" customHeight="1" x14ac:dyDescent="0.2">
      <c r="A13" s="225" t="s">
        <v>175</v>
      </c>
      <c r="B13" s="225"/>
      <c r="C13" s="225"/>
      <c r="D13" s="225"/>
      <c r="E13" s="225"/>
      <c r="F13" s="225"/>
      <c r="G13" s="63">
        <v>6</v>
      </c>
      <c r="H13" s="64">
        <v>-650738</v>
      </c>
      <c r="I13" s="64">
        <v>-241371</v>
      </c>
    </row>
    <row r="14" spans="1:9" ht="12.75" customHeight="1" x14ac:dyDescent="0.2">
      <c r="A14" s="225" t="s">
        <v>176</v>
      </c>
      <c r="B14" s="225"/>
      <c r="C14" s="225"/>
      <c r="D14" s="225"/>
      <c r="E14" s="225"/>
      <c r="F14" s="225"/>
      <c r="G14" s="63">
        <v>7</v>
      </c>
      <c r="H14" s="64">
        <v>1028692</v>
      </c>
      <c r="I14" s="64">
        <v>2382280</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74694</v>
      </c>
      <c r="I16" s="64">
        <v>-2417240</v>
      </c>
    </row>
    <row r="17" spans="1:9" ht="25.15" customHeight="1" x14ac:dyDescent="0.2">
      <c r="A17" s="225" t="s">
        <v>179</v>
      </c>
      <c r="B17" s="225"/>
      <c r="C17" s="225"/>
      <c r="D17" s="225"/>
      <c r="E17" s="225"/>
      <c r="F17" s="225"/>
      <c r="G17" s="63">
        <v>10</v>
      </c>
      <c r="H17" s="64">
        <v>-5296354</v>
      </c>
      <c r="I17" s="64">
        <v>3230885</v>
      </c>
    </row>
    <row r="18" spans="1:9" ht="28.15" customHeight="1" x14ac:dyDescent="0.2">
      <c r="A18" s="247" t="s">
        <v>306</v>
      </c>
      <c r="B18" s="247"/>
      <c r="C18" s="247"/>
      <c r="D18" s="247"/>
      <c r="E18" s="247"/>
      <c r="F18" s="247"/>
      <c r="G18" s="65">
        <v>11</v>
      </c>
      <c r="H18" s="66">
        <f>H8+H9</f>
        <v>-10085150</v>
      </c>
      <c r="I18" s="66">
        <f>I8+I9</f>
        <v>-5121559</v>
      </c>
    </row>
    <row r="19" spans="1:9" ht="12.75" customHeight="1" x14ac:dyDescent="0.2">
      <c r="A19" s="248" t="s">
        <v>180</v>
      </c>
      <c r="B19" s="248"/>
      <c r="C19" s="248"/>
      <c r="D19" s="248"/>
      <c r="E19" s="248"/>
      <c r="F19" s="248"/>
      <c r="G19" s="65">
        <v>12</v>
      </c>
      <c r="H19" s="66">
        <f>H20+H21+H22+H23</f>
        <v>14011378</v>
      </c>
      <c r="I19" s="66">
        <f>I20+I21+I22+I23</f>
        <v>13995613</v>
      </c>
    </row>
    <row r="20" spans="1:9" ht="12.75" customHeight="1" x14ac:dyDescent="0.2">
      <c r="A20" s="225" t="s">
        <v>181</v>
      </c>
      <c r="B20" s="225"/>
      <c r="C20" s="225"/>
      <c r="D20" s="225"/>
      <c r="E20" s="225"/>
      <c r="F20" s="225"/>
      <c r="G20" s="63">
        <v>13</v>
      </c>
      <c r="H20" s="64">
        <v>23473115</v>
      </c>
      <c r="I20" s="64">
        <v>23067932</v>
      </c>
    </row>
    <row r="21" spans="1:9" ht="12.75" customHeight="1" x14ac:dyDescent="0.2">
      <c r="A21" s="225" t="s">
        <v>182</v>
      </c>
      <c r="B21" s="225"/>
      <c r="C21" s="225"/>
      <c r="D21" s="225"/>
      <c r="E21" s="225"/>
      <c r="F21" s="225"/>
      <c r="G21" s="63">
        <v>14</v>
      </c>
      <c r="H21" s="64">
        <v>-8973450</v>
      </c>
      <c r="I21" s="64">
        <v>-6498830</v>
      </c>
    </row>
    <row r="22" spans="1:9" ht="12.75" customHeight="1" x14ac:dyDescent="0.2">
      <c r="A22" s="225" t="s">
        <v>183</v>
      </c>
      <c r="B22" s="225"/>
      <c r="C22" s="225"/>
      <c r="D22" s="225"/>
      <c r="E22" s="225"/>
      <c r="F22" s="225"/>
      <c r="G22" s="63">
        <v>15</v>
      </c>
      <c r="H22" s="64">
        <v>-322271</v>
      </c>
      <c r="I22" s="64">
        <v>-198497</v>
      </c>
    </row>
    <row r="23" spans="1:9" ht="12.75" customHeight="1" x14ac:dyDescent="0.2">
      <c r="A23" s="225" t="s">
        <v>184</v>
      </c>
      <c r="B23" s="225"/>
      <c r="C23" s="225"/>
      <c r="D23" s="225"/>
      <c r="E23" s="225"/>
      <c r="F23" s="225"/>
      <c r="G23" s="63">
        <v>16</v>
      </c>
      <c r="H23" s="64">
        <v>-166016</v>
      </c>
      <c r="I23" s="64">
        <v>-2374992</v>
      </c>
    </row>
    <row r="24" spans="1:9" ht="12.75" customHeight="1" x14ac:dyDescent="0.2">
      <c r="A24" s="247" t="s">
        <v>185</v>
      </c>
      <c r="B24" s="247"/>
      <c r="C24" s="247"/>
      <c r="D24" s="247"/>
      <c r="E24" s="247"/>
      <c r="F24" s="247"/>
      <c r="G24" s="65">
        <v>17</v>
      </c>
      <c r="H24" s="66">
        <f>H18+H19</f>
        <v>3926228</v>
      </c>
      <c r="I24" s="66">
        <f>I18+I19</f>
        <v>8874054</v>
      </c>
    </row>
    <row r="25" spans="1:9" ht="12.75" customHeight="1" x14ac:dyDescent="0.2">
      <c r="A25" s="190" t="s">
        <v>186</v>
      </c>
      <c r="B25" s="190"/>
      <c r="C25" s="190"/>
      <c r="D25" s="190"/>
      <c r="E25" s="190"/>
      <c r="F25" s="190"/>
      <c r="G25" s="63">
        <v>18</v>
      </c>
      <c r="H25" s="64">
        <v>-643183</v>
      </c>
      <c r="I25" s="64">
        <v>-1707897</v>
      </c>
    </row>
    <row r="26" spans="1:9" ht="12.75" customHeight="1" x14ac:dyDescent="0.2">
      <c r="A26" s="190" t="s">
        <v>187</v>
      </c>
      <c r="B26" s="190"/>
      <c r="C26" s="190"/>
      <c r="D26" s="190"/>
      <c r="E26" s="190"/>
      <c r="F26" s="190"/>
      <c r="G26" s="63">
        <v>19</v>
      </c>
      <c r="H26" s="64">
        <v>0</v>
      </c>
      <c r="I26" s="64">
        <v>0</v>
      </c>
    </row>
    <row r="27" spans="1:9" ht="25.9" customHeight="1" x14ac:dyDescent="0.2">
      <c r="A27" s="252" t="s">
        <v>188</v>
      </c>
      <c r="B27" s="252"/>
      <c r="C27" s="252"/>
      <c r="D27" s="252"/>
      <c r="E27" s="252"/>
      <c r="F27" s="252"/>
      <c r="G27" s="65">
        <v>20</v>
      </c>
      <c r="H27" s="66">
        <f>H24+H25+H26</f>
        <v>3283045</v>
      </c>
      <c r="I27" s="66">
        <f>I24+I25+I26</f>
        <v>7166157</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5521</v>
      </c>
      <c r="I29" s="67">
        <v>21179</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75000</v>
      </c>
      <c r="I33" s="67">
        <v>75000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80521</v>
      </c>
      <c r="I35" s="68">
        <f>I29+I30+I31+I32+I33+I34</f>
        <v>96179</v>
      </c>
    </row>
    <row r="36" spans="1:9" ht="22.9" customHeight="1" x14ac:dyDescent="0.2">
      <c r="A36" s="190" t="s">
        <v>197</v>
      </c>
      <c r="B36" s="190"/>
      <c r="C36" s="190"/>
      <c r="D36" s="190"/>
      <c r="E36" s="190"/>
      <c r="F36" s="190"/>
      <c r="G36" s="63">
        <v>28</v>
      </c>
      <c r="H36" s="67">
        <v>-933030</v>
      </c>
      <c r="I36" s="67">
        <v>-2283764</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-2511574</v>
      </c>
      <c r="I40" s="67">
        <v>-3074748</v>
      </c>
    </row>
    <row r="41" spans="1:9" ht="24" customHeight="1" x14ac:dyDescent="0.2">
      <c r="A41" s="247" t="s">
        <v>202</v>
      </c>
      <c r="B41" s="247"/>
      <c r="C41" s="247"/>
      <c r="D41" s="247"/>
      <c r="E41" s="247"/>
      <c r="F41" s="247"/>
      <c r="G41" s="65">
        <v>33</v>
      </c>
      <c r="H41" s="68">
        <f>H36+H37+H38+H39+H40</f>
        <v>-3444604</v>
      </c>
      <c r="I41" s="68">
        <f>I36+I37+I38+I39+I40</f>
        <v>-5358512</v>
      </c>
    </row>
    <row r="42" spans="1:9" ht="29.45" customHeight="1" x14ac:dyDescent="0.2">
      <c r="A42" s="252" t="s">
        <v>203</v>
      </c>
      <c r="B42" s="252"/>
      <c r="C42" s="252"/>
      <c r="D42" s="252"/>
      <c r="E42" s="252"/>
      <c r="F42" s="252"/>
      <c r="G42" s="65">
        <v>34</v>
      </c>
      <c r="H42" s="68">
        <f>H35+H41</f>
        <v>-3364083</v>
      </c>
      <c r="I42" s="68">
        <f>I35+I41</f>
        <v>-5262333</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7" t="s">
        <v>209</v>
      </c>
      <c r="B48" s="247"/>
      <c r="C48" s="247"/>
      <c r="D48" s="247"/>
      <c r="E48" s="247"/>
      <c r="F48" s="247"/>
      <c r="G48" s="65">
        <v>39</v>
      </c>
      <c r="H48" s="68">
        <f>H44+H45+H46+H47</f>
        <v>0</v>
      </c>
      <c r="I48" s="68">
        <f>I44+I45+I46+I47</f>
        <v>0</v>
      </c>
    </row>
    <row r="49" spans="1:9" ht="24.6" customHeight="1" x14ac:dyDescent="0.2">
      <c r="A49" s="190" t="s">
        <v>305</v>
      </c>
      <c r="B49" s="190"/>
      <c r="C49" s="190"/>
      <c r="D49" s="190"/>
      <c r="E49" s="190"/>
      <c r="F49" s="190"/>
      <c r="G49" s="63">
        <v>40</v>
      </c>
      <c r="H49" s="67">
        <v>0</v>
      </c>
      <c r="I49" s="67">
        <v>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-3271516</v>
      </c>
      <c r="I53" s="67">
        <v>-7785422</v>
      </c>
    </row>
    <row r="54" spans="1:9" ht="30.6" customHeight="1" x14ac:dyDescent="0.2">
      <c r="A54" s="247" t="s">
        <v>214</v>
      </c>
      <c r="B54" s="247"/>
      <c r="C54" s="247"/>
      <c r="D54" s="247"/>
      <c r="E54" s="247"/>
      <c r="F54" s="247"/>
      <c r="G54" s="65">
        <v>45</v>
      </c>
      <c r="H54" s="68">
        <f>H49+H50+H51+H52+H53</f>
        <v>-3271516</v>
      </c>
      <c r="I54" s="68">
        <f>I49+I50+I51+I52+I53</f>
        <v>-7785422</v>
      </c>
    </row>
    <row r="55" spans="1:9" ht="29.45" customHeight="1" x14ac:dyDescent="0.2">
      <c r="A55" s="252" t="s">
        <v>215</v>
      </c>
      <c r="B55" s="252"/>
      <c r="C55" s="252"/>
      <c r="D55" s="252"/>
      <c r="E55" s="252"/>
      <c r="F55" s="252"/>
      <c r="G55" s="65">
        <v>46</v>
      </c>
      <c r="H55" s="68">
        <f>H48+H54</f>
        <v>-3271516</v>
      </c>
      <c r="I55" s="68">
        <f>I48+I54</f>
        <v>-7785422</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-3352554</v>
      </c>
      <c r="I57" s="68">
        <f>I27+I42+I55+I56</f>
        <v>-5881598</v>
      </c>
    </row>
    <row r="58" spans="1:9" x14ac:dyDescent="0.2">
      <c r="A58" s="253" t="s">
        <v>218</v>
      </c>
      <c r="B58" s="253"/>
      <c r="C58" s="253"/>
      <c r="D58" s="253"/>
      <c r="E58" s="253"/>
      <c r="F58" s="253"/>
      <c r="G58" s="63">
        <v>49</v>
      </c>
      <c r="H58" s="67">
        <v>79119537</v>
      </c>
      <c r="I58" s="67">
        <v>44826509</v>
      </c>
    </row>
    <row r="59" spans="1:9" ht="31.15" customHeight="1" x14ac:dyDescent="0.2">
      <c r="A59" s="252" t="s">
        <v>219</v>
      </c>
      <c r="B59" s="252"/>
      <c r="C59" s="252"/>
      <c r="D59" s="252"/>
      <c r="E59" s="252"/>
      <c r="F59" s="252"/>
      <c r="G59" s="65">
        <v>50</v>
      </c>
      <c r="H59" s="68">
        <f>H57+H58</f>
        <v>75766983</v>
      </c>
      <c r="I59" s="68">
        <f>I57+I58</f>
        <v>38944911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23622047244094491" right="0.23622047244094491" top="0.74803149606299213" bottom="0.74803149606299213" header="0.31496062992125984" footer="0.31496062992125984"/>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29" zoomScaleNormal="100" zoomScaleSheetLayoutView="85" workbookViewId="0">
      <selection activeCell="L51" sqref="L5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328</v>
      </c>
      <c r="B2" s="196"/>
      <c r="C2" s="196"/>
      <c r="D2" s="196"/>
      <c r="E2" s="196"/>
      <c r="F2" s="196"/>
      <c r="G2" s="196"/>
      <c r="H2" s="196"/>
      <c r="I2" s="196"/>
    </row>
    <row r="3" spans="1:9" x14ac:dyDescent="0.2">
      <c r="A3" s="267" t="s">
        <v>448</v>
      </c>
      <c r="B3" s="268"/>
      <c r="C3" s="268"/>
      <c r="D3" s="268"/>
      <c r="E3" s="268"/>
      <c r="F3" s="268"/>
      <c r="G3" s="268"/>
      <c r="H3" s="268"/>
      <c r="I3" s="268"/>
    </row>
    <row r="4" spans="1:9" x14ac:dyDescent="0.2">
      <c r="A4" s="244" t="s">
        <v>329</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395</v>
      </c>
      <c r="B12" s="258"/>
      <c r="C12" s="258"/>
      <c r="D12" s="258"/>
      <c r="E12" s="258"/>
      <c r="F12" s="258"/>
      <c r="G12" s="17">
        <v>5</v>
      </c>
      <c r="H12" s="24">
        <v>0</v>
      </c>
      <c r="I12" s="24">
        <v>0</v>
      </c>
    </row>
    <row r="13" spans="1:9" x14ac:dyDescent="0.2">
      <c r="A13" s="266" t="s">
        <v>396</v>
      </c>
      <c r="B13" s="266"/>
      <c r="C13" s="266"/>
      <c r="D13" s="266"/>
      <c r="E13" s="266"/>
      <c r="F13" s="266"/>
      <c r="G13" s="53">
        <v>6</v>
      </c>
      <c r="H13" s="56">
        <f>SUM(H8:H12)</f>
        <v>0</v>
      </c>
      <c r="I13" s="56">
        <f>SUM(I8:I12)</f>
        <v>0</v>
      </c>
    </row>
    <row r="14" spans="1:9" ht="12.75" customHeight="1" x14ac:dyDescent="0.2">
      <c r="A14" s="258" t="s">
        <v>397</v>
      </c>
      <c r="B14" s="258"/>
      <c r="C14" s="258"/>
      <c r="D14" s="258"/>
      <c r="E14" s="258"/>
      <c r="F14" s="258"/>
      <c r="G14" s="17">
        <v>7</v>
      </c>
      <c r="H14" s="24">
        <v>0</v>
      </c>
      <c r="I14" s="24">
        <v>0</v>
      </c>
    </row>
    <row r="15" spans="1:9" ht="12.75" customHeight="1" x14ac:dyDescent="0.2">
      <c r="A15" s="258" t="s">
        <v>398</v>
      </c>
      <c r="B15" s="258"/>
      <c r="C15" s="258"/>
      <c r="D15" s="258"/>
      <c r="E15" s="258"/>
      <c r="F15" s="258"/>
      <c r="G15" s="17">
        <v>8</v>
      </c>
      <c r="H15" s="24">
        <v>0</v>
      </c>
      <c r="I15" s="24">
        <v>0</v>
      </c>
    </row>
    <row r="16" spans="1:9" ht="12.75" customHeight="1" x14ac:dyDescent="0.2">
      <c r="A16" s="258" t="s">
        <v>399</v>
      </c>
      <c r="B16" s="258"/>
      <c r="C16" s="258"/>
      <c r="D16" s="258"/>
      <c r="E16" s="258"/>
      <c r="F16" s="258"/>
      <c r="G16" s="17">
        <v>9</v>
      </c>
      <c r="H16" s="24">
        <v>0</v>
      </c>
      <c r="I16" s="24">
        <v>0</v>
      </c>
    </row>
    <row r="17" spans="1:9" ht="12.75" customHeight="1" x14ac:dyDescent="0.2">
      <c r="A17" s="258" t="s">
        <v>400</v>
      </c>
      <c r="B17" s="258"/>
      <c r="C17" s="258"/>
      <c r="D17" s="258"/>
      <c r="E17" s="258"/>
      <c r="F17" s="258"/>
      <c r="G17" s="17">
        <v>10</v>
      </c>
      <c r="H17" s="24">
        <v>0</v>
      </c>
      <c r="I17" s="24">
        <v>0</v>
      </c>
    </row>
    <row r="18" spans="1:9" ht="12.75" customHeight="1" x14ac:dyDescent="0.2">
      <c r="A18" s="258" t="s">
        <v>401</v>
      </c>
      <c r="B18" s="258"/>
      <c r="C18" s="258"/>
      <c r="D18" s="258"/>
      <c r="E18" s="258"/>
      <c r="F18" s="258"/>
      <c r="G18" s="17">
        <v>11</v>
      </c>
      <c r="H18" s="24">
        <v>0</v>
      </c>
      <c r="I18" s="24">
        <v>0</v>
      </c>
    </row>
    <row r="19" spans="1:9" ht="12.75" customHeight="1" x14ac:dyDescent="0.2">
      <c r="A19" s="258" t="s">
        <v>402</v>
      </c>
      <c r="B19" s="258"/>
      <c r="C19" s="258"/>
      <c r="D19" s="258"/>
      <c r="E19" s="258"/>
      <c r="F19" s="258"/>
      <c r="G19" s="17">
        <v>12</v>
      </c>
      <c r="H19" s="24">
        <v>0</v>
      </c>
      <c r="I19" s="24">
        <v>0</v>
      </c>
    </row>
    <row r="20" spans="1:9" ht="26.25" customHeight="1" x14ac:dyDescent="0.2">
      <c r="A20" s="266" t="s">
        <v>403</v>
      </c>
      <c r="B20" s="266"/>
      <c r="C20" s="266"/>
      <c r="D20" s="266"/>
      <c r="E20" s="266"/>
      <c r="F20" s="266"/>
      <c r="G20" s="53">
        <v>13</v>
      </c>
      <c r="H20" s="56">
        <f>SUM(H14:H19)</f>
        <v>0</v>
      </c>
      <c r="I20" s="56">
        <f>SUM(I14:I19)</f>
        <v>0</v>
      </c>
    </row>
    <row r="21" spans="1:9" ht="27.6" customHeight="1" x14ac:dyDescent="0.2">
      <c r="A21" s="264" t="s">
        <v>404</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405</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406</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407</v>
      </c>
      <c r="B35" s="259"/>
      <c r="C35" s="259"/>
      <c r="D35" s="259"/>
      <c r="E35" s="259"/>
      <c r="F35" s="259"/>
      <c r="G35" s="53">
        <v>27</v>
      </c>
      <c r="H35" s="57">
        <f>SUM(H30:H34)</f>
        <v>0</v>
      </c>
      <c r="I35" s="57">
        <f>SUM(I30:I34)</f>
        <v>0</v>
      </c>
    </row>
    <row r="36" spans="1:9" ht="28.15" customHeight="1" x14ac:dyDescent="0.2">
      <c r="A36" s="264" t="s">
        <v>408</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409</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410</v>
      </c>
      <c r="B48" s="259"/>
      <c r="C48" s="259"/>
      <c r="D48" s="259"/>
      <c r="E48" s="259"/>
      <c r="F48" s="259"/>
      <c r="G48" s="53">
        <v>39</v>
      </c>
      <c r="H48" s="57">
        <f>H47+H46+H45+H44+H43</f>
        <v>0</v>
      </c>
      <c r="I48" s="57">
        <f>I47+I46+I45+I44+I43</f>
        <v>0</v>
      </c>
    </row>
    <row r="49" spans="1:9" ht="25.9" customHeight="1" x14ac:dyDescent="0.2">
      <c r="A49" s="270" t="s">
        <v>445</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411</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A22" zoomScaleNormal="100" zoomScaleSheetLayoutView="80" workbookViewId="0">
      <selection activeCell="A14" sqref="A14:F1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45658</v>
      </c>
      <c r="F2" s="4" t="s">
        <v>0</v>
      </c>
      <c r="G2" s="9">
        <v>45747</v>
      </c>
      <c r="H2" s="27"/>
      <c r="I2" s="27"/>
      <c r="J2" s="27"/>
      <c r="K2" s="26"/>
      <c r="X2" s="28" t="s">
        <v>448</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92387953</v>
      </c>
      <c r="I7" s="33">
        <v>0</v>
      </c>
      <c r="J7" s="33">
        <v>0</v>
      </c>
      <c r="K7" s="33">
        <v>0</v>
      </c>
      <c r="L7" s="33">
        <v>0</v>
      </c>
      <c r="M7" s="33">
        <v>0</v>
      </c>
      <c r="N7" s="33">
        <v>0</v>
      </c>
      <c r="O7" s="33">
        <v>412184</v>
      </c>
      <c r="P7" s="33">
        <v>63476</v>
      </c>
      <c r="Q7" s="33">
        <v>0</v>
      </c>
      <c r="R7" s="33">
        <v>0</v>
      </c>
      <c r="S7" s="33">
        <v>0</v>
      </c>
      <c r="T7" s="33">
        <v>0</v>
      </c>
      <c r="U7" s="33">
        <v>-80636035</v>
      </c>
      <c r="V7" s="33">
        <v>2252127</v>
      </c>
      <c r="W7" s="34">
        <f>H7+I7+J7+K7-L7+M7+N7+O7+P7+Q7+R7+U7+V7+S7+T7</f>
        <v>14479705</v>
      </c>
      <c r="X7" s="33">
        <v>0</v>
      </c>
      <c r="Y7" s="34">
        <f>W7+X7</f>
        <v>14479705</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92387953</v>
      </c>
      <c r="I10" s="34">
        <f t="shared" ref="I10:Y10" si="2">I7+I8+I9</f>
        <v>0</v>
      </c>
      <c r="J10" s="34">
        <f t="shared" si="2"/>
        <v>0</v>
      </c>
      <c r="K10" s="34">
        <f>K7+K8+K9</f>
        <v>0</v>
      </c>
      <c r="L10" s="34">
        <f t="shared" si="2"/>
        <v>0</v>
      </c>
      <c r="M10" s="34">
        <f t="shared" si="2"/>
        <v>0</v>
      </c>
      <c r="N10" s="34">
        <f t="shared" si="2"/>
        <v>0</v>
      </c>
      <c r="O10" s="34">
        <f t="shared" si="2"/>
        <v>412184</v>
      </c>
      <c r="P10" s="34">
        <f t="shared" si="2"/>
        <v>63476</v>
      </c>
      <c r="Q10" s="34">
        <f t="shared" si="2"/>
        <v>0</v>
      </c>
      <c r="R10" s="34">
        <f t="shared" si="2"/>
        <v>0</v>
      </c>
      <c r="S10" s="34">
        <f t="shared" si="2"/>
        <v>0</v>
      </c>
      <c r="T10" s="34">
        <f t="shared" si="2"/>
        <v>0</v>
      </c>
      <c r="U10" s="34">
        <f t="shared" si="2"/>
        <v>-80636035</v>
      </c>
      <c r="V10" s="34">
        <f t="shared" si="2"/>
        <v>2252127</v>
      </c>
      <c r="W10" s="34">
        <f t="shared" si="2"/>
        <v>14479705</v>
      </c>
      <c r="X10" s="34">
        <f t="shared" si="2"/>
        <v>0</v>
      </c>
      <c r="Y10" s="34">
        <f t="shared" si="2"/>
        <v>14479705</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f>RDG!H68</f>
        <v>-9924293</v>
      </c>
      <c r="W11" s="34">
        <f t="shared" ref="W11:W29" si="3">H11+I11+J11+K11-L11+M11+N11+O11+P11+Q11+R11+U11+V11+S11+T11</f>
        <v>-9924293</v>
      </c>
      <c r="X11" s="33">
        <v>0</v>
      </c>
      <c r="Y11" s="34">
        <f t="shared" ref="Y11:Y29" si="4">W11+X11</f>
        <v>-9924293</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8" t="s">
        <v>419</v>
      </c>
      <c r="B14" s="278"/>
      <c r="C14" s="278"/>
      <c r="D14" s="278"/>
      <c r="E14" s="278"/>
      <c r="F14" s="278"/>
      <c r="G14" s="6">
        <v>8</v>
      </c>
      <c r="H14" s="35">
        <v>0</v>
      </c>
      <c r="I14" s="35">
        <v>0</v>
      </c>
      <c r="J14" s="35">
        <v>0</v>
      </c>
      <c r="K14" s="35">
        <v>0</v>
      </c>
      <c r="L14" s="35">
        <v>0</v>
      </c>
      <c r="M14" s="35">
        <v>0</v>
      </c>
      <c r="N14" s="35">
        <v>0</v>
      </c>
      <c r="O14" s="35">
        <v>0</v>
      </c>
      <c r="P14" s="33">
        <v>-63476</v>
      </c>
      <c r="Q14" s="35">
        <v>0</v>
      </c>
      <c r="R14" s="35">
        <v>0</v>
      </c>
      <c r="S14" s="33">
        <v>0</v>
      </c>
      <c r="T14" s="33">
        <v>0</v>
      </c>
      <c r="U14" s="33">
        <v>0</v>
      </c>
      <c r="V14" s="33">
        <v>0</v>
      </c>
      <c r="W14" s="34">
        <f t="shared" si="3"/>
        <v>-63476</v>
      </c>
      <c r="X14" s="33">
        <v>0</v>
      </c>
      <c r="Y14" s="34">
        <f t="shared" si="4"/>
        <v>-63476</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420</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421</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422</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H23+I23+J23+K23-L23+M23+N23+O23+P23+Q23+R23+U23+V23+S23+T23</f>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H24+I24+J24+K24-L24+M24+N24+O24+P24+Q24+R24+U24+V24+S24+T24</f>
        <v>0</v>
      </c>
      <c r="X24" s="33">
        <v>0</v>
      </c>
      <c r="Y24" s="34">
        <f t="shared" si="4"/>
        <v>0</v>
      </c>
    </row>
    <row r="25" spans="1:25" x14ac:dyDescent="0.2">
      <c r="A25" s="278" t="s">
        <v>423</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431</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8" t="s">
        <v>424</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425</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f>+V10</f>
        <v>2252127</v>
      </c>
      <c r="V28" s="33">
        <f>+U28*-1</f>
        <v>-2252127</v>
      </c>
      <c r="W28" s="34">
        <f t="shared" si="3"/>
        <v>0</v>
      </c>
      <c r="X28" s="33">
        <v>0</v>
      </c>
      <c r="Y28" s="34">
        <f t="shared" si="4"/>
        <v>0</v>
      </c>
    </row>
    <row r="29" spans="1:25" ht="12.75" customHeight="1" x14ac:dyDescent="0.2">
      <c r="A29" s="278" t="s">
        <v>426</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427</v>
      </c>
      <c r="B30" s="296"/>
      <c r="C30" s="296"/>
      <c r="D30" s="296"/>
      <c r="E30" s="296"/>
      <c r="F30" s="296"/>
      <c r="G30" s="8">
        <v>24</v>
      </c>
      <c r="H30" s="36">
        <f>SUM(H10:H29)</f>
        <v>92387953</v>
      </c>
      <c r="I30" s="36">
        <f t="shared" ref="I30:Y30" si="5">SUM(I10:I29)</f>
        <v>0</v>
      </c>
      <c r="J30" s="36">
        <f t="shared" si="5"/>
        <v>0</v>
      </c>
      <c r="K30" s="36">
        <f t="shared" si="5"/>
        <v>0</v>
      </c>
      <c r="L30" s="36">
        <f t="shared" si="5"/>
        <v>0</v>
      </c>
      <c r="M30" s="36">
        <f t="shared" si="5"/>
        <v>0</v>
      </c>
      <c r="N30" s="36">
        <f t="shared" si="5"/>
        <v>0</v>
      </c>
      <c r="O30" s="36">
        <f t="shared" si="5"/>
        <v>412184</v>
      </c>
      <c r="P30" s="36">
        <f t="shared" si="5"/>
        <v>0</v>
      </c>
      <c r="Q30" s="36">
        <f t="shared" si="5"/>
        <v>0</v>
      </c>
      <c r="R30" s="36">
        <f t="shared" si="5"/>
        <v>0</v>
      </c>
      <c r="S30" s="36">
        <f t="shared" si="5"/>
        <v>0</v>
      </c>
      <c r="T30" s="36">
        <f t="shared" si="5"/>
        <v>0</v>
      </c>
      <c r="U30" s="36">
        <f t="shared" si="5"/>
        <v>-78383908</v>
      </c>
      <c r="V30" s="36">
        <f t="shared" si="5"/>
        <v>-9924293</v>
      </c>
      <c r="W30" s="36">
        <f t="shared" si="5"/>
        <v>4491936</v>
      </c>
      <c r="X30" s="36">
        <f t="shared" si="5"/>
        <v>0</v>
      </c>
      <c r="Y30" s="36">
        <f t="shared" si="5"/>
        <v>4491936</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-63476</v>
      </c>
      <c r="Q32" s="34">
        <f t="shared" si="6"/>
        <v>0</v>
      </c>
      <c r="R32" s="34">
        <f t="shared" si="6"/>
        <v>0</v>
      </c>
      <c r="S32" s="34">
        <f t="shared" ref="S32:T32" si="7">SUM(S12:S20)</f>
        <v>0</v>
      </c>
      <c r="T32" s="34">
        <f t="shared" si="7"/>
        <v>0</v>
      </c>
      <c r="U32" s="34">
        <f t="shared" si="6"/>
        <v>0</v>
      </c>
      <c r="V32" s="34">
        <f t="shared" si="6"/>
        <v>0</v>
      </c>
      <c r="W32" s="34">
        <f t="shared" si="6"/>
        <v>-63476</v>
      </c>
      <c r="X32" s="34">
        <f t="shared" si="6"/>
        <v>0</v>
      </c>
      <c r="Y32" s="34">
        <f t="shared" si="6"/>
        <v>-63476</v>
      </c>
    </row>
    <row r="33" spans="1:25" ht="31.5" customHeight="1" x14ac:dyDescent="0.2">
      <c r="A33" s="299" t="s">
        <v>428</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-63476</v>
      </c>
      <c r="Q33" s="34">
        <f t="shared" si="8"/>
        <v>0</v>
      </c>
      <c r="R33" s="34">
        <f t="shared" si="8"/>
        <v>0</v>
      </c>
      <c r="S33" s="34">
        <f t="shared" ref="S33:T33" si="9">S11+S32</f>
        <v>0</v>
      </c>
      <c r="T33" s="34">
        <f t="shared" si="9"/>
        <v>0</v>
      </c>
      <c r="U33" s="34">
        <f t="shared" si="8"/>
        <v>0</v>
      </c>
      <c r="V33" s="34">
        <f t="shared" si="8"/>
        <v>-9924293</v>
      </c>
      <c r="W33" s="34">
        <f t="shared" si="8"/>
        <v>-9987769</v>
      </c>
      <c r="X33" s="34">
        <f t="shared" si="8"/>
        <v>0</v>
      </c>
      <c r="Y33" s="34">
        <f t="shared" si="8"/>
        <v>-9987769</v>
      </c>
    </row>
    <row r="34" spans="1:25" ht="30.75" customHeight="1" x14ac:dyDescent="0.2">
      <c r="A34" s="300" t="s">
        <v>429</v>
      </c>
      <c r="B34" s="300"/>
      <c r="C34" s="300"/>
      <c r="D34" s="300"/>
      <c r="E34" s="300"/>
      <c r="F34" s="300"/>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2252127</v>
      </c>
      <c r="V34" s="36">
        <f t="shared" si="10"/>
        <v>-2252127</v>
      </c>
      <c r="W34" s="36">
        <f t="shared" si="10"/>
        <v>0</v>
      </c>
      <c r="X34" s="36">
        <f t="shared" si="10"/>
        <v>0</v>
      </c>
      <c r="Y34" s="36">
        <f t="shared" si="10"/>
        <v>0</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92387953</v>
      </c>
      <c r="I36" s="33">
        <v>0</v>
      </c>
      <c r="J36" s="33">
        <v>0</v>
      </c>
      <c r="K36" s="33">
        <v>0</v>
      </c>
      <c r="L36" s="33">
        <v>0</v>
      </c>
      <c r="M36" s="33">
        <v>0</v>
      </c>
      <c r="N36" s="33">
        <v>0</v>
      </c>
      <c r="O36" s="33">
        <v>7016033</v>
      </c>
      <c r="P36" s="33">
        <v>0</v>
      </c>
      <c r="Q36" s="33">
        <v>0</v>
      </c>
      <c r="R36" s="33">
        <v>0</v>
      </c>
      <c r="S36" s="33">
        <v>0</v>
      </c>
      <c r="T36" s="33">
        <v>0</v>
      </c>
      <c r="U36" s="33">
        <f>Bilanca!H91</f>
        <v>-78383908</v>
      </c>
      <c r="V36" s="33">
        <f>Bilanca!H94</f>
        <v>-19570829</v>
      </c>
      <c r="W36" s="37">
        <f>H36+I36+J36+K36-L36+M36+N36+O36+P36+Q36+R36+U36+V36+S36+T36</f>
        <v>1449249</v>
      </c>
      <c r="X36" s="33">
        <v>0</v>
      </c>
      <c r="Y36" s="37">
        <f t="shared" ref="Y36:Y38" si="12">W36+X36</f>
        <v>1449249</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ref="W38" si="13">H38+I38+J38+K38-L38+M38+N38+O38+P38+Q38+R38+U38+V38+S38+T38</f>
        <v>0</v>
      </c>
      <c r="X38" s="33">
        <v>0</v>
      </c>
      <c r="Y38" s="37">
        <f t="shared" si="12"/>
        <v>0</v>
      </c>
    </row>
    <row r="39" spans="1:25" ht="25.5" customHeight="1" x14ac:dyDescent="0.2">
      <c r="A39" s="279" t="s">
        <v>430</v>
      </c>
      <c r="B39" s="279"/>
      <c r="C39" s="279"/>
      <c r="D39" s="279"/>
      <c r="E39" s="279"/>
      <c r="F39" s="279"/>
      <c r="G39" s="7">
        <v>31</v>
      </c>
      <c r="H39" s="34">
        <f>H36+H37+H38</f>
        <v>92387953</v>
      </c>
      <c r="I39" s="34">
        <f>I36+I37+I38</f>
        <v>0</v>
      </c>
      <c r="J39" s="34">
        <f t="shared" ref="J39:Y39" si="14">J36+J37+J38</f>
        <v>0</v>
      </c>
      <c r="K39" s="34">
        <f t="shared" si="14"/>
        <v>0</v>
      </c>
      <c r="L39" s="34">
        <f t="shared" si="14"/>
        <v>0</v>
      </c>
      <c r="M39" s="34">
        <f t="shared" si="14"/>
        <v>0</v>
      </c>
      <c r="N39" s="34">
        <f t="shared" si="14"/>
        <v>0</v>
      </c>
      <c r="O39" s="34">
        <f t="shared" si="14"/>
        <v>7016033</v>
      </c>
      <c r="P39" s="34">
        <f t="shared" si="14"/>
        <v>0</v>
      </c>
      <c r="Q39" s="34">
        <f t="shared" si="14"/>
        <v>0</v>
      </c>
      <c r="R39" s="34">
        <f t="shared" si="14"/>
        <v>0</v>
      </c>
      <c r="S39" s="34">
        <f t="shared" si="14"/>
        <v>0</v>
      </c>
      <c r="T39" s="34">
        <f t="shared" si="14"/>
        <v>0</v>
      </c>
      <c r="U39" s="34">
        <f t="shared" si="14"/>
        <v>-78383908</v>
      </c>
      <c r="V39" s="34">
        <f t="shared" si="14"/>
        <v>-19570829</v>
      </c>
      <c r="W39" s="34">
        <f t="shared" si="14"/>
        <v>1449249</v>
      </c>
      <c r="X39" s="34">
        <f t="shared" si="14"/>
        <v>0</v>
      </c>
      <c r="Y39" s="34">
        <f t="shared" si="14"/>
        <v>1449249</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f>RDG!J64</f>
        <v>-15888591</v>
      </c>
      <c r="W40" s="37">
        <f t="shared" ref="W40:W58" si="15">H40+I40+J40+K40-L40+M40+N40+O40+P40+Q40+R40+U40+V40+S40+T40</f>
        <v>-15888591</v>
      </c>
      <c r="X40" s="33">
        <v>0</v>
      </c>
      <c r="Y40" s="37">
        <f t="shared" ref="Y40:Y58" si="16">W40+X40</f>
        <v>-15888591</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f>+RDG!J91-RDG!J95</f>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419</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420</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421</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422</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423</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431</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424</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432</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f>V57*-1</f>
        <v>-19570829</v>
      </c>
      <c r="V57" s="33">
        <f>V36*-1</f>
        <v>19570829</v>
      </c>
      <c r="W57" s="37">
        <f t="shared" si="15"/>
        <v>0</v>
      </c>
      <c r="X57" s="33">
        <v>0</v>
      </c>
      <c r="Y57" s="37">
        <f t="shared" si="16"/>
        <v>0</v>
      </c>
    </row>
    <row r="58" spans="1:25" ht="12.75" customHeight="1" x14ac:dyDescent="0.2">
      <c r="A58" s="278" t="s">
        <v>426</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433</v>
      </c>
      <c r="B59" s="296"/>
      <c r="C59" s="296"/>
      <c r="D59" s="296"/>
      <c r="E59" s="296"/>
      <c r="F59" s="296"/>
      <c r="G59" s="8">
        <v>51</v>
      </c>
      <c r="H59" s="36">
        <f>SUM(H39:H58)</f>
        <v>92387953</v>
      </c>
      <c r="I59" s="36">
        <f t="shared" ref="I59:Y59" si="17">SUM(I39:I58)</f>
        <v>0</v>
      </c>
      <c r="J59" s="36">
        <f t="shared" si="17"/>
        <v>0</v>
      </c>
      <c r="K59" s="36">
        <f t="shared" si="17"/>
        <v>0</v>
      </c>
      <c r="L59" s="36">
        <f t="shared" si="17"/>
        <v>0</v>
      </c>
      <c r="M59" s="36">
        <f t="shared" si="17"/>
        <v>0</v>
      </c>
      <c r="N59" s="36">
        <f t="shared" si="17"/>
        <v>0</v>
      </c>
      <c r="O59" s="36">
        <f t="shared" si="17"/>
        <v>7016033</v>
      </c>
      <c r="P59" s="36">
        <f t="shared" si="17"/>
        <v>0</v>
      </c>
      <c r="Q59" s="36">
        <f t="shared" si="17"/>
        <v>0</v>
      </c>
      <c r="R59" s="36">
        <f t="shared" si="17"/>
        <v>0</v>
      </c>
      <c r="S59" s="36">
        <f t="shared" si="17"/>
        <v>0</v>
      </c>
      <c r="T59" s="36">
        <f t="shared" si="17"/>
        <v>0</v>
      </c>
      <c r="U59" s="36">
        <f t="shared" si="17"/>
        <v>-97954737</v>
      </c>
      <c r="V59" s="36">
        <f t="shared" si="17"/>
        <v>-15888591</v>
      </c>
      <c r="W59" s="36">
        <f t="shared" si="17"/>
        <v>-14439342</v>
      </c>
      <c r="X59" s="36">
        <f t="shared" si="17"/>
        <v>0</v>
      </c>
      <c r="Y59" s="36">
        <f t="shared" si="17"/>
        <v>-14439342</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434</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9" t="s">
        <v>435</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-15888591</v>
      </c>
      <c r="W62" s="37">
        <f t="shared" si="20"/>
        <v>-15888591</v>
      </c>
      <c r="X62" s="37">
        <f t="shared" si="20"/>
        <v>0</v>
      </c>
      <c r="Y62" s="37">
        <f t="shared" si="20"/>
        <v>-15888591</v>
      </c>
    </row>
    <row r="63" spans="1:25" ht="29.25" customHeight="1" x14ac:dyDescent="0.2">
      <c r="A63" s="300" t="s">
        <v>436</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-19570829</v>
      </c>
      <c r="V63" s="38">
        <f t="shared" si="22"/>
        <v>19570829</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XFD1048576"/>
    </sheetView>
  </sheetViews>
  <sheetFormatPr defaultRowHeight="12.75" x14ac:dyDescent="0.2"/>
  <cols>
    <col min="8" max="8" width="9.140625" customWidth="1"/>
    <col min="9" max="9" width="35.7109375" customWidth="1"/>
  </cols>
  <sheetData>
    <row r="1" spans="1:9" x14ac:dyDescent="0.2">
      <c r="A1" s="302" t="s">
        <v>469</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ht="78" customHeight="1"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0866141732283472" right="0.70866141732283472" top="0.74803149606299213" bottom="0.74803149606299213" header="0.31496062992125984" footer="0.31496062992125984"/>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Janušić Dijana</cp:lastModifiedBy>
  <cp:lastPrinted>2025-04-30T09:45:48Z</cp:lastPrinted>
  <dcterms:created xsi:type="dcterms:W3CDTF">2008-10-17T11:51:54Z</dcterms:created>
  <dcterms:modified xsi:type="dcterms:W3CDTF">2025-04-30T10:42:40Z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