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HRVATSKI\Q4\XLS - XML\"/>
    </mc:Choice>
  </mc:AlternateContent>
  <xr:revisionPtr revIDLastSave="0" documentId="13_ncr:1_{6B2BE930-57EB-4003-BB53-BF60824FC13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H62" i="26"/>
  <c r="H68" i="26" s="1"/>
  <c r="H64" i="26"/>
  <c r="I51" i="21"/>
  <c r="I53" i="21" s="1"/>
  <c r="H51" i="21"/>
  <c r="H53" i="21" s="1"/>
  <c r="K109" i="26" l="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9" i="18" l="1"/>
  <c r="V39" i="22"/>
  <c r="V57" i="22"/>
  <c r="W36" i="22"/>
  <c r="Y36" i="22" s="1"/>
  <c r="Y39" i="22" s="1"/>
  <c r="H39" i="22"/>
  <c r="H59" i="22" s="1"/>
  <c r="H57" i="20"/>
  <c r="H59" i="20" s="1"/>
  <c r="I24" i="20"/>
  <c r="I27" i="20" s="1"/>
  <c r="I55" i="20"/>
  <c r="H72" i="18"/>
  <c r="I44" i="18"/>
  <c r="I75" i="18"/>
  <c r="I133" i="18" s="1"/>
  <c r="I42" i="20"/>
  <c r="Y61" i="22"/>
  <c r="Y62" i="22" s="1"/>
  <c r="W61" i="22"/>
  <c r="W62" i="22" s="1"/>
  <c r="Y32" i="22"/>
  <c r="Y33" i="22" s="1"/>
  <c r="W32" i="22"/>
  <c r="W33" i="22" s="1"/>
  <c r="Y34" i="22"/>
  <c r="W34" i="22"/>
  <c r="Y10" i="22"/>
  <c r="Y30" i="22" s="1"/>
  <c r="W10" i="22"/>
  <c r="W30" i="22" s="1"/>
  <c r="W39" i="22" l="1"/>
  <c r="U57" i="22"/>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<sst xmlns="http://schemas.openxmlformats.org/spreadsheetml/2006/main" count="542" uniqueCount="472">
  <si>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</si>
  <si>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</si>
  <si>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</si>
  <si>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</si>
  <si>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</si>
  <si>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</si>
  <si>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</si>
  <si>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</si>
  <si>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</si>
  <si>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</si>
  <si>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</si>
  <si>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</si>
  <si>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</si>
  <si>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</si>
  <si>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</si>
  <si>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</si>
  <si>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</si>
  <si>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</si>
  <si>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</si>
  <si>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</si>
  <si>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</si>
  <si>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</si>
  <si>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</si>
  <si>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</si>
  <si>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</si>
  <si>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</si>
  <si>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</si>
  <si>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</si>
  <si>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</si>
  <si>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</si>
  <si>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</si>
  <si>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</si>
  <si>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</si>
  <si>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</si>
  <si>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</si>
  <si>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</si>
  <si>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</si>
  <si>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</si>
  <si>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</si>
  <si>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</si>
  <si>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</si>
  <si>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</si>
  <si>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</si>
  <si>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</si>
  <si>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</si>
  <si>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</si>
  <si>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</si>
  <si>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</si>
  <si>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</si>
  <si>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</si>
  <si>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</si>
  <si>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</si>
  <si>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</si>
  <si>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</si>
  <si>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</si>
  <si>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</si>
  <si>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</si>
  <si>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</si>
  <si>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</si>
  <si>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</si>
  <si>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</si>
  <si>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</si>
  <si>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</si>
  <si>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</si>
  <si>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</si>
  <si>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</si>
  <si>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</si>
  <si>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</si>
  <si>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</si>
  <si>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</si>
  <si>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</si>
  <si>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</si>
  <si>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</si>
  <si>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</si>
  <si>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</si>
  <si>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</si>
  <si>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</si>
  <si>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</si>
  <si>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</si>
  <si>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</si>
  <si>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</si>
  <si>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</si>
  <si>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</si>
  <si>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</si>
  <si>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</si>
  <si>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</si>
  <si>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</si>
  <si>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</si>
  <si>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</si>
  <si>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</si>
  <si>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</si>
  <si>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</si>
  <si>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</si>
  <si>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</si>
  <si>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</si>
  <si>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</si>
  <si>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</si>
  <si>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</si>
  <si>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</si>
  <si>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</si>
  <si>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</si>
  <si>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</si>
  <si>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</si>
  <si>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</si>
  <si>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</si>
  <si>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</si>
  <si>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</si>
  <si>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</si>
  <si>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</si>
  <si>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</si>
  <si>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</si>
  <si>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</si>
  <si>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</si>
  <si>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</si>
  <si>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</si>
  <si>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</si>
  <si>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</si>
  <si>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</si>
  <si>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</si>
  <si>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</si>
  <si>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</si>
  <si>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</si>
  <si>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</si>
  <si>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</si>
  <si>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</si>
  <si>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</si>
  <si>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</si>
  <si>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</si>
  <si>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</si>
  <si>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</si>
  <si>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</si>
  <si>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</si>
  <si>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</si>
  <si>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</si>
  <si>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</si>
  <si>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</si>
  <si>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</si>
  <si>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</si>
  <si>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</si>
  <si>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</si>
  <si>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</si>
  <si>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</si>
  <si>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</si>
  <si>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</si>
  <si>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</si>
  <si>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</si>
  <si>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</si>
  <si>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</si>
  <si>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</si>
  <si>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</si>
  <si>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</si>
  <si>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</si>
  <si>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</si>
  <si>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</si>
  <si>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</si>
  <si>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</si>
  <si>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</si>
  <si>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</si>
  <si>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</si>
  <si>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</si>
  <si>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</si>
  <si>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</si>
  <si>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</si>
  <si>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</si>
  <si>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</si>
  <si>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</si>
  <si>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</si>
  <si>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</si>
  <si>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</si>
  <si>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</si>
  <si>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</si>
  <si>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</si>
  <si>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</si>
  <si>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</si>
  <si>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</si>
  <si>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</si>
  <si>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</si>
  <si>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</si>
  <si>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</si>
  <si>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</si>
  <si>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</si>
  <si>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</si>
  <si>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</si>
  <si>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</si>
  <si>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</si>
  <si>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</si>
  <si>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</si>
  <si>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</si>
  <si>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</si>
  <si>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</si>
  <si>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</si>
  <si>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</si>
  <si>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</si>
  <si>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</si>
  <si>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</si>
  <si>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</si>
  <si>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</si>
  <si>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</si>
  <si>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</si>
  <si>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</si>
  <si>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</si>
  <si>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</si>
  <si>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</si>
  <si>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</si>
  <si>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</si>
  <si>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</si>
  <si>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</si>
  <si>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</si>
  <si>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</si>
  <si>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</si>
  <si>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</si>
  <si>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</si>
  <si>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</si>
  <si>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</si>
  <si>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</si>
  <si>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</si>
  <si>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</si>
  <si>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</si>
  <si>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</si>
  <si>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</si>
  <si>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</si>
  <si>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</si>
  <si>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</si>
  <si>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</si>
  <si>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</si>
  <si>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</si>
  <si>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</si>
  <si>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</si>
  <si>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</si>
  <si>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</si>
  <si>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</si>
  <si>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</si>
  <si>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</si>
  <si>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</si>
  <si>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</si>
  <si>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</si>
  <si>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</si>
  <si>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</si>
  <si>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</si>
  <si>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</si>
  <si>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</si>
  <si>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</si>
  <si>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</si>
  <si>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</si>
  <si>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</si>
  <si>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</si>
  <si>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</si>
  <si>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</si>
  <si>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</si>
  <si>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</si>
  <si>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</si>
  <si>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</si>
  <si>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</si>
  <si>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</si>
  <si>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</si>
  <si>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</si>
  <si>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</si>
  <si>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</si>
  <si>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</si>
  <si>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</si>
  <si>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</si>
  <si>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</si>
  <si>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</si>
  <si>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</si>
  <si>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</si>
  <si>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</si>
  <si>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</si>
  <si>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</si>
  <si>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</si>
  <si>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</si>
  <si>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</si>
  <si>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</si>
  <si>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</si>
  <si>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</si>
  <si>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</si>
  <si>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</si>
  <si>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</si>
  <si>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</si>
  <si>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</si>
  <si>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</si>
  <si>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</si>
  <si>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</si>
  <si>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</si>
  <si>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</si>
  <si>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</si>
  <si>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</si>
  <si>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</si>
  <si>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</si>
  <si>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</si>
  <si>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</si>
  <si>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</si>
  <si>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</si>
  <si>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</si>
  <si>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</si>
  <si>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</si>
  <si>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</si>
  <si>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</si>
  <si>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</si>
  <si>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</si>
  <si>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</si>
  <si>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</si>
  <si>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</si>
  <si>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</si>
  <si>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</si>
  <si>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</si>
  <si>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</si>
  <si>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</si>
  <si>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</si>
  <si>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</si>
  <si>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</si>
  <si>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</si>
  <si>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</si>
  <si>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</si>
  <si>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</si>
  <si>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</si>
  <si>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</si>
  <si>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</si>
  <si>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</si>
  <si>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</si>
  <si>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</si>
  <si>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</si>
  <si>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</si>
  <si>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</si>
  <si>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</si>
  <si>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</si>
  <si>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</si>
  <si>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</si>
  <si>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</si>
  <si>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</si>
  <si>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</si>
  <si>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</si>
  <si>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</si>
  <si>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</si>
  <si>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</si>
  <si>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</si>
  <si>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</si>
  <si>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</si>
  <si>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</si>
  <si>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</si>
  <si>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</si>
  <si>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</si>
  <si>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</si>
  <si>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</si>
  <si>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</si>
  <si>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</si>
  <si>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</si>
  <si>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</si>
  <si>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</si>
  <si>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</si>
  <si>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</si>
  <si>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</si>
  <si>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</si>
  <si>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</si>
  <si>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</si>
  <si>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</si>
  <si>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</si>
  <si>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</si>
  <si>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</si>
  <si>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</si>
  <si>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</si>
  <si>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</si>
  <si>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</si>
  <si>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</si>
  <si>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</si>
  <si>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</si>
  <si>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</si>
  <si>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</si>
  <si>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</si>
  <si>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</si>
  <si>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</si>
  <si>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</si>
  <si>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</si>
  <si>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</si>
  <si>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</si>
  <si>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</si>
  <si>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</si>
  <si>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</si>
  <si>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</si>
  <si>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</si>
  <si>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</si>
  <si>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</si>
  <si>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</si>
  <si>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</si>
  <si>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</si>
  <si>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</si>
  <si>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</si>
  <si>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</si>
  <si>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</si>
  <si>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</si>
  <si>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</si>
  <si>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</si>
  <si>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</si>
  <si>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</si>
  <si>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</si>
  <si>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</si>
  <si>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</si>
  <si>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</si>
  <si>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</si>
  <si>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</si>
  <si>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</si>
  <si>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</si>
  <si>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</si>
  <si>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</si>
  <si>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</si>
  <si>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</si>
  <si>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</si>
  <si>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</si>
  <si>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</si>
  <si>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</si>
  <si>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</si>
  <si>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</si>
  <si>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</si>
  <si>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</si>
  <si>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</si>
  <si>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</si>
  <si>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</si>
  <si>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</si>
  <si>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</si>
  <si>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</si>
  <si>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</si>
  <si>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</si>
  <si>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</si>
  <si>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</si>
  <si>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</si>
  <si>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</si>
  <si>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</si>
  <si>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</si>
  <si>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</si>
  <si>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</si>
  <si>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</si>
  <si>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</si>
  <si>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</si>
  <si>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</si>
  <si>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</si>
  <si>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</si>
  <si>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</si>
  <si>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</si>
  <si>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</si>
  <si>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</si>
  <si>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</si>
  <si>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</si>
  <si>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</si>
  <si>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</si>
  <si>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</si>
  <si>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</si>
  <si>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</si>
  <si>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</si>
  <si>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</si>
  <si>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</si>
  <si>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</si>
  <si>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</si>
  <si>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</si>
  <si>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</si>
  <si>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</si>
  <si>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</si>
  <si>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</si>
  <si>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</si>
  <si>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</si>
  <si>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</si>
  <si>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</si>
  <si>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</si>
  <si>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</si>
  <si>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</si>
  <si>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</si>
  <si>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</si>
  <si>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</si>
  <si>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</si>
  <si>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</si>
  <si>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Obveznik: Arena Hospitality Group d.d.</t>
  </si>
  <si>
    <t>stanje na dan 31.12.2023.</t>
  </si>
  <si>
    <t>u razdoblju 01.01.2023. do 31.12.2023.</t>
  </si>
  <si>
    <r>
      <t xml:space="preserve">BILJEŠKE UZ FINANCIJSKE IZVJEŠTAJE - TFI
(koji se sastavljaju za tromjesečna razdoblja)
Naziv izdavatelja:   Arena Hospitality Group d.d.
OIB:   47625429199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1.324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226.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r>
    <r>
      <rPr>
        <b/>
        <sz val="10"/>
        <rFont val="Arial"/>
        <family val="2"/>
        <charset val="238"/>
      </rPr>
      <t>Usklađenje stavaka Bilance</t>
    </r>
    <r>
      <rPr>
        <sz val="10"/>
        <rFont val="Arial"/>
        <family val="2"/>
        <charset val="238"/>
      </rPr>
      <t xml:space="preserve">:
Nekretnine, postrojenja i oprema u iznosu od 353.292 tisuća eura uvećane za Zalihe (iskazane unutar Dugotrajne imovine) u iznosu od 2.066 tisuća eura te Imovina s pravom upotrebe  u iznosu od 33.059 tisuća eura odgovara AOP poziciji 010. 
Ulaganja u zajedničke pothvate u iznosu od 6.256 tisuća eura nalazi se na pozicijama AOP 024 i 026.
Ograničeni depoziti i novčana sredstva u iznosu od 9.335 tisuća eura te pozicija Ostala dugotrajna financijska imovina u iznosu od 1.029 tisuća eura nalaze se na AOP 028 i 030. 
Potraživanja za porez na dobit iskazan u Godišnjem izvještaju u iznosu od 99 tisuća eura nalazi se unutar AOP 051. Ostala potraživanja i predujmovi u iznosu od 1.481 tisuća eura (izuzev potraživanja za porez na dobit), iskazana su na  AOP 043, 047, 048, 051 i 052.
Potraživanja od kupaca u iznosu od 2.610 tisuća eura obuhvaćaju AOP 049.
Ostale rezerve u iznosu od 41.631 tisuća eura sadrže AOP 071, 075 i 082. Obaveze prema bankama i drugim financijskim institucijama, AOP 103, u iznosu od 198.050 tisuća eura sadrži slijedeće pozicije iz Godišnjeg izvještaja: Obveze po kreditima banaka u iznosu od 162.251 tisuća eura i Obveze za najmove u iznosu od 35.799 tisuća eura. Ostale obveze u iznosu od 1.329 tisuća eura odgovaraju zbroju AOP pozicija 091 i 107.
Zadržana dobit/ (preneseni gubitak) u iznosu od 6.314 tisuća eura nalazi se na AOP 083 i 086. 
Ostale obveze i rezerviranja u iznosu od 14.483 tisuća eura, unutar TFI je iskazan na AOP 116,119,120 i 123.
</t>
    </r>
    <r>
      <rPr>
        <b/>
        <sz val="10"/>
        <rFont val="Arial"/>
        <family val="2"/>
        <charset val="238"/>
      </rPr>
      <t>Usklađenje stavaka Računa dobiti i gubitka</t>
    </r>
    <r>
      <rPr>
        <sz val="10"/>
        <rFont val="Arial"/>
        <family val="2"/>
        <charset val="238"/>
      </rPr>
      <t xml:space="preserve">:
Poslovni rashodi u iznosu od 96.066 tisuća eura uvećani za Troškove najma i koncesijska naknada za zemljišta u iznosu od 2.382 tisuća eura i poziciju Ostali rashodi u iznosu od 1.411 tisuća eura korespondiraju zbroju AOP pozicijama 009, 013 i 029.
Financijski prihodi u iznosu od 2.561 tisuća eura iskazani su na pozicijama AOP 034, 037, 038 i 040.
</t>
    </r>
    <r>
      <rPr>
        <b/>
        <sz val="10"/>
        <rFont val="Arial"/>
        <family val="2"/>
        <charset val="238"/>
      </rPr>
      <t>Usklađivanje stavki u Izvještaju o promjenama na kapitalu</t>
    </r>
    <r>
      <rPr>
        <sz val="10"/>
        <rFont val="Arial"/>
        <family val="2"/>
        <charset val="238"/>
      </rPr>
      <t>:
Iznos od 215.457 eura naveden u retku 21.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U istom retku za godinu 2022. osim iznosa od 215.457 eura koji se odnoste na ostale raspodjele vlasnicima, do ukupnog iznosa retka nalaze se i tečajne razlike nastale uslijed preračuna zbog prelaska na novu izvještajnu valutu (EUR).
Sve preostale informacije sadržane su u bilješkama uz financijske izvještaje objavljene u Godišnjem izvješću.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</si>
</sst>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A52" sqref="A52:J5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451</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1115</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459</v>
      </c>
      <c r="F37" s="166"/>
      <c r="G37" s="166"/>
      <c r="H37" s="166"/>
      <c r="I37" s="167"/>
      <c r="J37" s="76">
        <v>80662589</v>
      </c>
    </row>
    <row r="38" spans="1:10" x14ac:dyDescent="0.25">
      <c r="A38" s="98"/>
      <c r="B38" s="77"/>
      <c r="C38" s="105"/>
      <c r="D38" s="168"/>
      <c r="E38" s="168"/>
      <c r="F38" s="168"/>
      <c r="G38" s="168"/>
      <c r="H38" s="168"/>
      <c r="I38" s="168"/>
      <c r="J38" s="100"/>
    </row>
    <row r="39" spans="1:10" x14ac:dyDescent="0.25">
      <c r="A39" s="165" t="s">
        <v>460</v>
      </c>
      <c r="B39" s="166"/>
      <c r="C39" s="166"/>
      <c r="D39" s="167"/>
      <c r="E39" s="165" t="s">
        <v>461</v>
      </c>
      <c r="F39" s="166"/>
      <c r="G39" s="166"/>
      <c r="H39" s="166"/>
      <c r="I39" s="167"/>
      <c r="J39" s="44">
        <v>80662845</v>
      </c>
    </row>
    <row r="40" spans="1:10" x14ac:dyDescent="0.25">
      <c r="A40" s="98"/>
      <c r="B40" s="77"/>
      <c r="C40" s="105"/>
      <c r="D40" s="113"/>
      <c r="E40" s="168"/>
      <c r="F40" s="168"/>
      <c r="G40" s="168"/>
      <c r="H40" s="168"/>
      <c r="I40" s="99"/>
      <c r="J40" s="100"/>
    </row>
    <row r="41" spans="1:10" x14ac:dyDescent="0.25">
      <c r="A41" s="165" t="s">
        <v>462</v>
      </c>
      <c r="B41" s="166"/>
      <c r="C41" s="166"/>
      <c r="D41" s="167"/>
      <c r="E41" s="165" t="s">
        <v>463</v>
      </c>
      <c r="F41" s="166"/>
      <c r="G41" s="166"/>
      <c r="H41" s="166"/>
      <c r="I41" s="167"/>
      <c r="J41" s="44">
        <v>320830051</v>
      </c>
    </row>
    <row r="42" spans="1:10" x14ac:dyDescent="0.25">
      <c r="A42" s="98"/>
      <c r="B42" s="77"/>
      <c r="C42" s="105"/>
      <c r="D42" s="113"/>
      <c r="E42" s="168"/>
      <c r="F42" s="168"/>
      <c r="G42" s="168"/>
      <c r="H42" s="168"/>
      <c r="I42" s="99"/>
      <c r="J42" s="100"/>
    </row>
    <row r="43" spans="1:10" x14ac:dyDescent="0.25">
      <c r="A43" s="165" t="s">
        <v>464</v>
      </c>
      <c r="B43" s="166"/>
      <c r="C43" s="166"/>
      <c r="D43" s="167"/>
      <c r="E43" s="165" t="s">
        <v>463</v>
      </c>
      <c r="F43" s="166"/>
      <c r="G43" s="166"/>
      <c r="H43" s="166"/>
      <c r="I43" s="167"/>
      <c r="J43" s="44">
        <v>67278027</v>
      </c>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tabSelected="1" topLeftCell="A55" zoomScaleNormal="100" zoomScaleSheetLayoutView="110" workbookViewId="0">
      <selection activeCell="A52" sqref="A52:J5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469</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398244997</v>
      </c>
      <c r="I9" s="120">
        <f>I10+I17+I27+I38+I43</f>
        <v>414913357</v>
      </c>
    </row>
    <row r="10" spans="1:9" ht="12.75" customHeight="1" x14ac:dyDescent="0.2">
      <c r="A10" s="183" t="s">
        <v>5</v>
      </c>
      <c r="B10" s="183"/>
      <c r="C10" s="183"/>
      <c r="D10" s="183"/>
      <c r="E10" s="183"/>
      <c r="F10" s="183"/>
      <c r="G10" s="12">
        <v>3</v>
      </c>
      <c r="H10" s="120">
        <f>H11+H12+H13+H14+H15+H16</f>
        <v>548171</v>
      </c>
      <c r="I10" s="120">
        <f>I11+I12+I13+I14+I15+I16</f>
        <v>1201209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548171</v>
      </c>
      <c r="I12" s="18">
        <v>1201209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371771563</v>
      </c>
      <c r="I17" s="120">
        <f>I18+I19+I20+I21+I22+I23+I24+I25+I26</f>
        <v>388417391</v>
      </c>
    </row>
    <row r="18" spans="1:9" ht="12.75" customHeight="1" x14ac:dyDescent="0.2">
      <c r="A18" s="182" t="s">
        <v>13</v>
      </c>
      <c r="B18" s="182"/>
      <c r="C18" s="182"/>
      <c r="D18" s="182"/>
      <c r="E18" s="182"/>
      <c r="F18" s="182"/>
      <c r="G18" s="11">
        <v>11</v>
      </c>
      <c r="H18" s="18">
        <v>47398238</v>
      </c>
      <c r="I18" s="18">
        <v>47398788</v>
      </c>
    </row>
    <row r="19" spans="1:9" ht="12.75" customHeight="1" x14ac:dyDescent="0.2">
      <c r="A19" s="182" t="s">
        <v>14</v>
      </c>
      <c r="B19" s="182"/>
      <c r="C19" s="182"/>
      <c r="D19" s="182"/>
      <c r="E19" s="182"/>
      <c r="F19" s="182"/>
      <c r="G19" s="11">
        <v>12</v>
      </c>
      <c r="H19" s="18">
        <v>242893975</v>
      </c>
      <c r="I19" s="18">
        <v>266461921</v>
      </c>
    </row>
    <row r="20" spans="1:9" ht="12.75" customHeight="1" x14ac:dyDescent="0.2">
      <c r="A20" s="182" t="s">
        <v>15</v>
      </c>
      <c r="B20" s="182"/>
      <c r="C20" s="182"/>
      <c r="D20" s="182"/>
      <c r="E20" s="182"/>
      <c r="F20" s="182"/>
      <c r="G20" s="11">
        <v>13</v>
      </c>
      <c r="H20" s="18">
        <v>26001024</v>
      </c>
      <c r="I20" s="18">
        <v>28109008</v>
      </c>
    </row>
    <row r="21" spans="1:9" ht="12.75" customHeight="1" x14ac:dyDescent="0.2">
      <c r="A21" s="182" t="s">
        <v>16</v>
      </c>
      <c r="B21" s="182"/>
      <c r="C21" s="182"/>
      <c r="D21" s="182"/>
      <c r="E21" s="182"/>
      <c r="F21" s="182"/>
      <c r="G21" s="11">
        <v>14</v>
      </c>
      <c r="H21" s="18">
        <v>360697</v>
      </c>
      <c r="I21" s="18">
        <v>512234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151293</v>
      </c>
    </row>
    <row r="24" spans="1:9" ht="12.75" customHeight="1" x14ac:dyDescent="0.2">
      <c r="A24" s="182" t="s">
        <v>19</v>
      </c>
      <c r="B24" s="182"/>
      <c r="C24" s="182"/>
      <c r="D24" s="182"/>
      <c r="E24" s="182"/>
      <c r="F24" s="182"/>
      <c r="G24" s="11">
        <v>17</v>
      </c>
      <c r="H24" s="18">
        <v>19949158</v>
      </c>
      <c r="I24" s="18">
        <v>10659033</v>
      </c>
    </row>
    <row r="25" spans="1:9" ht="12.75" customHeight="1" x14ac:dyDescent="0.2">
      <c r="A25" s="182" t="s">
        <v>20</v>
      </c>
      <c r="B25" s="182"/>
      <c r="C25" s="182"/>
      <c r="D25" s="182"/>
      <c r="E25" s="182"/>
      <c r="F25" s="182"/>
      <c r="G25" s="11">
        <v>18</v>
      </c>
      <c r="H25" s="18">
        <v>34370243</v>
      </c>
      <c r="I25" s="18">
        <v>35125114</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15879222</v>
      </c>
      <c r="I27" s="120">
        <f>SUM(I28:I37)</f>
        <v>16620634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5602104</v>
      </c>
      <c r="I33" s="18">
        <v>6256010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9150708</v>
      </c>
      <c r="I35" s="18">
        <v>9752999</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1126410</v>
      </c>
      <c r="I37" s="18">
        <v>611625</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10046041</v>
      </c>
      <c r="I43" s="18">
        <v>8674123</v>
      </c>
    </row>
    <row r="44" spans="1:9" ht="12.75" customHeight="1" x14ac:dyDescent="0.2">
      <c r="A44" s="184" t="s">
        <v>303</v>
      </c>
      <c r="B44" s="184"/>
      <c r="C44" s="184"/>
      <c r="D44" s="184"/>
      <c r="E44" s="184"/>
      <c r="F44" s="184"/>
      <c r="G44" s="12">
        <v>37</v>
      </c>
      <c r="H44" s="120">
        <f>H45+H53+H60+H70</f>
        <v>76308834</v>
      </c>
      <c r="I44" s="120">
        <f>I45+I53+I60+I70</f>
        <v>55382650</v>
      </c>
    </row>
    <row r="45" spans="1:9" ht="12.75" customHeight="1" x14ac:dyDescent="0.2">
      <c r="A45" s="183" t="s">
        <v>39</v>
      </c>
      <c r="B45" s="183"/>
      <c r="C45" s="183"/>
      <c r="D45" s="183"/>
      <c r="E45" s="183"/>
      <c r="F45" s="183"/>
      <c r="G45" s="12">
        <v>38</v>
      </c>
      <c r="H45" s="120">
        <f>SUM(H46:H52)</f>
        <v>593544</v>
      </c>
      <c r="I45" s="120">
        <f>SUM(I46:I52)</f>
        <v>843337</v>
      </c>
    </row>
    <row r="46" spans="1:9" ht="12.75" customHeight="1" x14ac:dyDescent="0.2">
      <c r="A46" s="182" t="s">
        <v>40</v>
      </c>
      <c r="B46" s="182"/>
      <c r="C46" s="182"/>
      <c r="D46" s="182"/>
      <c r="E46" s="182"/>
      <c r="F46" s="182"/>
      <c r="G46" s="11">
        <v>39</v>
      </c>
      <c r="H46" s="18">
        <v>563101</v>
      </c>
      <c r="I46" s="18">
        <v>804865</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38472</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5278368</v>
      </c>
      <c r="I53" s="120">
        <f>SUM(I54:I59)</f>
        <v>4191226</v>
      </c>
    </row>
    <row r="54" spans="1:9" ht="12.75" customHeight="1" x14ac:dyDescent="0.2">
      <c r="A54" s="182" t="s">
        <v>48</v>
      </c>
      <c r="B54" s="182"/>
      <c r="C54" s="182"/>
      <c r="D54" s="182"/>
      <c r="E54" s="182"/>
      <c r="F54" s="182"/>
      <c r="G54" s="11">
        <v>47</v>
      </c>
      <c r="H54" s="18">
        <v>9095</v>
      </c>
      <c r="I54" s="18">
        <v>56234</v>
      </c>
    </row>
    <row r="55" spans="1:9" ht="12.75" customHeight="1" x14ac:dyDescent="0.2">
      <c r="A55" s="182" t="s">
        <v>49</v>
      </c>
      <c r="B55" s="182"/>
      <c r="C55" s="182"/>
      <c r="D55" s="182"/>
      <c r="E55" s="182"/>
      <c r="F55" s="182"/>
      <c r="G55" s="11">
        <v>48</v>
      </c>
      <c r="H55" s="18">
        <v>31194</v>
      </c>
      <c r="I55" s="18">
        <v>74449</v>
      </c>
    </row>
    <row r="56" spans="1:9" ht="12.75" customHeight="1" x14ac:dyDescent="0.2">
      <c r="A56" s="182" t="s">
        <v>50</v>
      </c>
      <c r="B56" s="182"/>
      <c r="C56" s="182"/>
      <c r="D56" s="182"/>
      <c r="E56" s="182"/>
      <c r="F56" s="182"/>
      <c r="G56" s="11">
        <v>49</v>
      </c>
      <c r="H56" s="18">
        <v>2048195</v>
      </c>
      <c r="I56" s="18">
        <v>2610367</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1228455</v>
      </c>
      <c r="I58" s="18">
        <v>1075690</v>
      </c>
    </row>
    <row r="59" spans="1:9" ht="12.75" customHeight="1" x14ac:dyDescent="0.2">
      <c r="A59" s="182" t="s">
        <v>53</v>
      </c>
      <c r="B59" s="182"/>
      <c r="C59" s="182"/>
      <c r="D59" s="182"/>
      <c r="E59" s="182"/>
      <c r="F59" s="182"/>
      <c r="G59" s="11">
        <v>52</v>
      </c>
      <c r="H59" s="18">
        <v>1961429</v>
      </c>
      <c r="I59" s="18">
        <v>374486</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70436922</v>
      </c>
      <c r="I70" s="18">
        <v>50348087</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474553831</v>
      </c>
      <c r="I72" s="120">
        <f>I8+I9+I44+I71</f>
        <v>470296007</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214764611</v>
      </c>
      <c r="I75" s="121">
        <f>I76+I77+I78+I84+I85+I91+I94+I97</f>
        <v>213436546</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3" t="s">
        <v>63</v>
      </c>
      <c r="B78" s="183"/>
      <c r="C78" s="183"/>
      <c r="D78" s="183"/>
      <c r="E78" s="183"/>
      <c r="F78" s="183"/>
      <c r="G78" s="12">
        <v>70</v>
      </c>
      <c r="H78" s="121">
        <f>SUM(H79:H83)</f>
        <v>41737047</v>
      </c>
      <c r="I78" s="121">
        <f>SUM(I79:I83)</f>
        <v>41415777</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3563479</v>
      </c>
    </row>
    <row r="81" spans="1:9" ht="12.75" customHeight="1" x14ac:dyDescent="0.2">
      <c r="A81" s="182" t="s">
        <v>66</v>
      </c>
      <c r="B81" s="182"/>
      <c r="C81" s="182"/>
      <c r="D81" s="182"/>
      <c r="E81" s="182"/>
      <c r="F81" s="182"/>
      <c r="G81" s="11">
        <v>73</v>
      </c>
      <c r="H81" s="18">
        <v>-3026752</v>
      </c>
      <c r="I81" s="18">
        <v>-3563479</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41056349</v>
      </c>
      <c r="I83" s="18">
        <v>40735079</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1549294</v>
      </c>
      <c r="I85" s="120">
        <f>I86+I87+I88+I89+I90</f>
        <v>424409</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1142056</v>
      </c>
      <c r="I88" s="18">
        <v>210298</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407238</v>
      </c>
      <c r="I90" s="18">
        <v>214111</v>
      </c>
    </row>
    <row r="91" spans="1:9" ht="12.75" customHeight="1" x14ac:dyDescent="0.2">
      <c r="A91" s="183" t="s">
        <v>350</v>
      </c>
      <c r="B91" s="183"/>
      <c r="C91" s="183"/>
      <c r="D91" s="183"/>
      <c r="E91" s="183"/>
      <c r="F91" s="183"/>
      <c r="G91" s="12">
        <v>83</v>
      </c>
      <c r="H91" s="120">
        <f>H92-H93</f>
        <v>1387794</v>
      </c>
      <c r="I91" s="120">
        <f>I92-I93</f>
        <v>2660562</v>
      </c>
    </row>
    <row r="92" spans="1:9" ht="12.75" customHeight="1" x14ac:dyDescent="0.2">
      <c r="A92" s="182" t="s">
        <v>72</v>
      </c>
      <c r="B92" s="182"/>
      <c r="C92" s="182"/>
      <c r="D92" s="182"/>
      <c r="E92" s="182"/>
      <c r="F92" s="182"/>
      <c r="G92" s="11">
        <v>84</v>
      </c>
      <c r="H92" s="18">
        <v>1387794</v>
      </c>
      <c r="I92" s="18">
        <v>2660562</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4808582</v>
      </c>
      <c r="I94" s="120">
        <f>I95-I96</f>
        <v>3653904</v>
      </c>
    </row>
    <row r="95" spans="1:9" ht="12.75" customHeight="1" x14ac:dyDescent="0.2">
      <c r="A95" s="182" t="s">
        <v>74</v>
      </c>
      <c r="B95" s="182"/>
      <c r="C95" s="182"/>
      <c r="D95" s="182"/>
      <c r="E95" s="182"/>
      <c r="F95" s="182"/>
      <c r="G95" s="11">
        <v>87</v>
      </c>
      <c r="H95" s="18">
        <v>4808582</v>
      </c>
      <c r="I95" s="18">
        <v>3653904</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6651208</v>
      </c>
      <c r="I98" s="120">
        <f>SUM(I99:I104)</f>
        <v>7349327</v>
      </c>
    </row>
    <row r="99" spans="1:9" ht="12.75" customHeight="1" x14ac:dyDescent="0.2">
      <c r="A99" s="182" t="s">
        <v>77</v>
      </c>
      <c r="B99" s="182"/>
      <c r="C99" s="182"/>
      <c r="D99" s="182"/>
      <c r="E99" s="182"/>
      <c r="F99" s="182"/>
      <c r="G99" s="11">
        <v>91</v>
      </c>
      <c r="H99" s="18">
        <v>631199</v>
      </c>
      <c r="I99" s="18">
        <v>1329318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209397106</v>
      </c>
      <c r="I105" s="120">
        <f>SUM(I106:I116)</f>
        <v>198049375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209397106</v>
      </c>
      <c r="I111" s="18">
        <v>198049375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43740906</v>
      </c>
      <c r="I117" s="120">
        <f>SUM(I118:I131)</f>
        <v>51460759</v>
      </c>
    </row>
    <row r="118" spans="1:9" ht="12.75" customHeight="1" x14ac:dyDescent="0.2">
      <c r="A118" s="182" t="s">
        <v>83</v>
      </c>
      <c r="B118" s="182"/>
      <c r="C118" s="182"/>
      <c r="D118" s="182"/>
      <c r="E118" s="182"/>
      <c r="F118" s="182"/>
      <c r="G118" s="11">
        <v>110</v>
      </c>
      <c r="H118" s="18">
        <v>1264172</v>
      </c>
      <c r="I118" s="18">
        <v>1208779</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25910660</v>
      </c>
      <c r="I123" s="18">
        <v>31197577</v>
      </c>
    </row>
    <row r="124" spans="1:9" ht="12.75" customHeight="1" x14ac:dyDescent="0.2">
      <c r="A124" s="182" t="s">
        <v>89</v>
      </c>
      <c r="B124" s="182"/>
      <c r="C124" s="182"/>
      <c r="D124" s="182"/>
      <c r="E124" s="182"/>
      <c r="F124" s="182"/>
      <c r="G124" s="11">
        <v>116</v>
      </c>
      <c r="H124" s="18">
        <v>1779727</v>
      </c>
      <c r="I124" s="18">
        <v>1862705</v>
      </c>
    </row>
    <row r="125" spans="1:9" ht="12.75" customHeight="1" x14ac:dyDescent="0.2">
      <c r="A125" s="182" t="s">
        <v>90</v>
      </c>
      <c r="B125" s="182"/>
      <c r="C125" s="182"/>
      <c r="D125" s="182"/>
      <c r="E125" s="182"/>
      <c r="F125" s="182"/>
      <c r="G125" s="11">
        <v>117</v>
      </c>
      <c r="H125" s="18">
        <v>4582012</v>
      </c>
      <c r="I125" s="18">
        <v>4567212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2422463</v>
      </c>
      <c r="I127" s="18">
        <v>2892175</v>
      </c>
    </row>
    <row r="128" spans="1:9" x14ac:dyDescent="0.2">
      <c r="A128" s="182" t="s">
        <v>95</v>
      </c>
      <c r="B128" s="182"/>
      <c r="C128" s="182"/>
      <c r="D128" s="182"/>
      <c r="E128" s="182"/>
      <c r="F128" s="182"/>
      <c r="G128" s="11">
        <v>120</v>
      </c>
      <c r="H128" s="18">
        <v>947462</v>
      </c>
      <c r="I128" s="18">
        <v>904947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6834410</v>
      </c>
      <c r="I131" s="18">
        <v>8827364</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474553831</v>
      </c>
      <c r="I133" s="120">
        <f>I75+I98+I105+I117+I132</f>
        <v>470296007</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0866141732283472" right="0.70866141732283472" top="0.74803149606299213" bottom="0.74803149606299213"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tabSelected="1" view="pageBreakPreview" topLeftCell="A52" zoomScale="110" zoomScaleNormal="100" zoomScaleSheetLayoutView="110" workbookViewId="0">
      <selection activeCell="A52" sqref="A52:J5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470</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109523073</v>
      </c>
      <c r="I8" s="52">
        <f>SUM(I9:I13)</f>
        <v>11371473</v>
      </c>
      <c r="J8" s="52">
        <f>SUM(J9:J13)</f>
        <v>126796458</v>
      </c>
      <c r="K8" s="52">
        <f>SUM(K9:K13)</f>
        <v>13894445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108287866</v>
      </c>
      <c r="I10" s="53">
        <v>11128685</v>
      </c>
      <c r="J10" s="53">
        <v>125184045</v>
      </c>
      <c r="K10" s="53">
        <v>13357043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1235207</v>
      </c>
      <c r="I13" s="53">
        <v>242788</v>
      </c>
      <c r="J13" s="53">
        <v>1612413</v>
      </c>
      <c r="K13" s="53">
        <v>537402</v>
      </c>
    </row>
    <row r="14" spans="1:11" ht="12.75" customHeight="1" x14ac:dyDescent="0.2">
      <c r="A14" s="216" t="s">
        <v>358</v>
      </c>
      <c r="B14" s="216"/>
      <c r="C14" s="216"/>
      <c r="D14" s="216"/>
      <c r="E14" s="216"/>
      <c r="F14" s="216"/>
      <c r="G14" s="12">
        <v>7</v>
      </c>
      <c r="H14" s="52">
        <f>H15+H16+H20+H24+H25+H26+H29+H36</f>
        <v>95644568</v>
      </c>
      <c r="I14" s="52">
        <f>I15+I16+I20+I24+I25+I26+I29+I36</f>
        <v>21129092</v>
      </c>
      <c r="J14" s="52">
        <f>J15+J16+J20+J24+J25+J26+J29+J36</f>
        <v>118252125</v>
      </c>
      <c r="K14" s="52">
        <f>K15+K16+K20+K24+K25+K26+K29+K36</f>
        <v>26501974</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37027159</v>
      </c>
      <c r="I16" s="52">
        <f>SUM(I17:I19)</f>
        <v>5783047</v>
      </c>
      <c r="J16" s="52">
        <f>SUM(J17:J19)</f>
        <v>45635001</v>
      </c>
      <c r="K16" s="52">
        <f>SUM(K17:K19)</f>
        <v>7327438</v>
      </c>
    </row>
    <row r="17" spans="1:11" ht="12.75" customHeight="1" x14ac:dyDescent="0.2">
      <c r="A17" s="217" t="s">
        <v>120</v>
      </c>
      <c r="B17" s="217"/>
      <c r="C17" s="217"/>
      <c r="D17" s="217"/>
      <c r="E17" s="217"/>
      <c r="F17" s="217"/>
      <c r="G17" s="11">
        <v>10</v>
      </c>
      <c r="H17" s="53">
        <v>19849185</v>
      </c>
      <c r="I17" s="53">
        <v>3131505</v>
      </c>
      <c r="J17" s="53">
        <v>25234840</v>
      </c>
      <c r="K17" s="53">
        <v>4082649</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17177974</v>
      </c>
      <c r="I19" s="53">
        <v>2651542</v>
      </c>
      <c r="J19" s="53">
        <v>20400161</v>
      </c>
      <c r="K19" s="53">
        <v>3244789</v>
      </c>
    </row>
    <row r="20" spans="1:11" ht="12.75" customHeight="1" x14ac:dyDescent="0.2">
      <c r="A20" s="183" t="s">
        <v>439</v>
      </c>
      <c r="B20" s="183"/>
      <c r="C20" s="183"/>
      <c r="D20" s="183"/>
      <c r="E20" s="183"/>
      <c r="F20" s="183"/>
      <c r="G20" s="12">
        <v>13</v>
      </c>
      <c r="H20" s="52">
        <f>SUM(H21:H23)</f>
        <v>37020436</v>
      </c>
      <c r="I20" s="52">
        <f>SUM(I21:I23)</f>
        <v>9214000</v>
      </c>
      <c r="J20" s="52">
        <f>SUM(J21:J23)</f>
        <v>43386015</v>
      </c>
      <c r="K20" s="52">
        <f>SUM(K21:K23)</f>
        <v>10602586</v>
      </c>
    </row>
    <row r="21" spans="1:11" ht="12.75" customHeight="1" x14ac:dyDescent="0.2">
      <c r="A21" s="217" t="s">
        <v>105</v>
      </c>
      <c r="B21" s="217"/>
      <c r="C21" s="217"/>
      <c r="D21" s="217"/>
      <c r="E21" s="217"/>
      <c r="F21" s="217"/>
      <c r="G21" s="11">
        <v>14</v>
      </c>
      <c r="H21" s="53">
        <v>25707624</v>
      </c>
      <c r="I21" s="53">
        <v>6286207</v>
      </c>
      <c r="J21" s="53">
        <v>29976742</v>
      </c>
      <c r="K21" s="53">
        <v>7508031</v>
      </c>
    </row>
    <row r="22" spans="1:11" ht="12.75" customHeight="1" x14ac:dyDescent="0.2">
      <c r="A22" s="217" t="s">
        <v>106</v>
      </c>
      <c r="B22" s="217"/>
      <c r="C22" s="217"/>
      <c r="D22" s="217"/>
      <c r="E22" s="217"/>
      <c r="F22" s="217"/>
      <c r="G22" s="11">
        <v>15</v>
      </c>
      <c r="H22" s="53">
        <v>7371232</v>
      </c>
      <c r="I22" s="53">
        <v>1932135</v>
      </c>
      <c r="J22" s="53">
        <v>8720733</v>
      </c>
      <c r="K22" s="53">
        <v>1995789</v>
      </c>
    </row>
    <row r="23" spans="1:11" ht="12.75" customHeight="1" x14ac:dyDescent="0.2">
      <c r="A23" s="217" t="s">
        <v>107</v>
      </c>
      <c r="B23" s="217"/>
      <c r="C23" s="217"/>
      <c r="D23" s="217"/>
      <c r="E23" s="217"/>
      <c r="F23" s="217"/>
      <c r="G23" s="11">
        <v>16</v>
      </c>
      <c r="H23" s="53">
        <v>3941580</v>
      </c>
      <c r="I23" s="53">
        <v>995658</v>
      </c>
      <c r="J23" s="53">
        <v>4688540</v>
      </c>
      <c r="K23" s="53">
        <v>1098766</v>
      </c>
    </row>
    <row r="24" spans="1:11" ht="12.75" customHeight="1" x14ac:dyDescent="0.2">
      <c r="A24" s="182" t="s">
        <v>108</v>
      </c>
      <c r="B24" s="182"/>
      <c r="C24" s="182"/>
      <c r="D24" s="182"/>
      <c r="E24" s="182"/>
      <c r="F24" s="182"/>
      <c r="G24" s="11">
        <v>17</v>
      </c>
      <c r="H24" s="53">
        <v>15627390</v>
      </c>
      <c r="I24" s="53">
        <v>4453144</v>
      </c>
      <c r="J24" s="53">
        <v>18391517</v>
      </c>
      <c r="K24" s="53">
        <v>5213902</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5969583</v>
      </c>
      <c r="I36" s="53">
        <v>1678901</v>
      </c>
      <c r="J36" s="53">
        <v>10839592</v>
      </c>
      <c r="K36" s="53">
        <v>3358048</v>
      </c>
    </row>
    <row r="37" spans="1:11" ht="12.75" customHeight="1" x14ac:dyDescent="0.2">
      <c r="A37" s="216" t="s">
        <v>359</v>
      </c>
      <c r="B37" s="216"/>
      <c r="C37" s="216"/>
      <c r="D37" s="216"/>
      <c r="E37" s="216"/>
      <c r="F37" s="216"/>
      <c r="G37" s="12">
        <v>30</v>
      </c>
      <c r="H37" s="52">
        <f>SUM(H38:H47)</f>
        <v>175141</v>
      </c>
      <c r="I37" s="52">
        <f>SUM(I38:I47)</f>
        <v>39734</v>
      </c>
      <c r="J37" s="52">
        <f>SUM(J38:J47)</f>
        <v>2560604</v>
      </c>
      <c r="K37" s="52">
        <f>SUM(K38:K47)</f>
        <v>1103870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158141</v>
      </c>
      <c r="I44" s="53">
        <v>39734</v>
      </c>
      <c r="J44" s="53">
        <v>1554793</v>
      </c>
      <c r="K44" s="53">
        <v>589485</v>
      </c>
    </row>
    <row r="45" spans="1:11" ht="12.75" customHeight="1" x14ac:dyDescent="0.2">
      <c r="A45" s="182" t="s">
        <v>138</v>
      </c>
      <c r="B45" s="182"/>
      <c r="C45" s="182"/>
      <c r="D45" s="182"/>
      <c r="E45" s="182"/>
      <c r="F45" s="182"/>
      <c r="G45" s="11">
        <v>38</v>
      </c>
      <c r="H45" s="53">
        <v>0</v>
      </c>
      <c r="I45" s="53">
        <v>0</v>
      </c>
      <c r="J45" s="53">
        <v>1005811</v>
      </c>
      <c r="K45" s="53">
        <v>514385</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17000</v>
      </c>
      <c r="I47" s="53">
        <v>0</v>
      </c>
      <c r="J47" s="53">
        <v>0</v>
      </c>
      <c r="K47" s="53">
        <v>0</v>
      </c>
    </row>
    <row r="48" spans="1:11" ht="12.75" customHeight="1" x14ac:dyDescent="0.2">
      <c r="A48" s="216" t="s">
        <v>360</v>
      </c>
      <c r="B48" s="216"/>
      <c r="C48" s="216"/>
      <c r="D48" s="216"/>
      <c r="E48" s="216"/>
      <c r="F48" s="216"/>
      <c r="G48" s="12">
        <v>41</v>
      </c>
      <c r="H48" s="52">
        <f>SUM(H49:H55)</f>
        <v>6217878</v>
      </c>
      <c r="I48" s="52">
        <f>SUM(I49:I55)</f>
        <v>39365</v>
      </c>
      <c r="J48" s="52">
        <f>SUM(J49:J55)</f>
        <v>5176991</v>
      </c>
      <c r="K48" s="52">
        <f>SUM(K49:K55)</f>
        <v>1266473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4140013</v>
      </c>
      <c r="I51" s="53">
        <v>1121400</v>
      </c>
      <c r="J51" s="53">
        <v>5069020</v>
      </c>
      <c r="K51" s="53">
        <v>1242280</v>
      </c>
    </row>
    <row r="52" spans="1:11" ht="12.75" customHeight="1" x14ac:dyDescent="0.2">
      <c r="A52" s="220" t="s">
        <v>144</v>
      </c>
      <c r="B52" s="220"/>
      <c r="C52" s="220"/>
      <c r="D52" s="220"/>
      <c r="E52" s="220"/>
      <c r="F52" s="220"/>
      <c r="G52" s="11">
        <v>45</v>
      </c>
      <c r="H52" s="53">
        <v>2030892</v>
      </c>
      <c r="I52" s="53">
        <v>-1095205</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46973</v>
      </c>
      <c r="I55" s="53">
        <v>13170</v>
      </c>
      <c r="J55" s="53">
        <v>107971</v>
      </c>
      <c r="K55" s="53">
        <v>24193</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236352</v>
      </c>
      <c r="I57" s="53">
        <v>45411</v>
      </c>
      <c r="J57" s="53">
        <v>0</v>
      </c>
      <c r="K57" s="53">
        <v>-11765</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130536</v>
      </c>
      <c r="K59" s="53">
        <v>130536</v>
      </c>
    </row>
    <row r="60" spans="1:11" ht="12.75" customHeight="1" x14ac:dyDescent="0.2">
      <c r="A60" s="216" t="s">
        <v>361</v>
      </c>
      <c r="B60" s="216"/>
      <c r="C60" s="216"/>
      <c r="D60" s="216"/>
      <c r="E60" s="216"/>
      <c r="F60" s="216"/>
      <c r="G60" s="12">
        <v>53</v>
      </c>
      <c r="H60" s="52">
        <f>H8+H37+H56+H57</f>
        <v>109934566</v>
      </c>
      <c r="I60" s="52">
        <f t="shared" ref="I60:K60" si="0">I8+I37+I56+I57</f>
        <v>11456618</v>
      </c>
      <c r="J60" s="52">
        <f t="shared" si="0"/>
        <v>129357062</v>
      </c>
      <c r="K60" s="52">
        <f t="shared" si="0"/>
        <v>14986550</v>
      </c>
    </row>
    <row r="61" spans="1:11" ht="12.75" customHeight="1" x14ac:dyDescent="0.2">
      <c r="A61" s="216" t="s">
        <v>362</v>
      </c>
      <c r="B61" s="216"/>
      <c r="C61" s="216"/>
      <c r="D61" s="216"/>
      <c r="E61" s="216"/>
      <c r="F61" s="216"/>
      <c r="G61" s="12">
        <v>54</v>
      </c>
      <c r="H61" s="52">
        <f>H14+H48+H58+H59</f>
        <v>101862446</v>
      </c>
      <c r="I61" s="52">
        <f t="shared" ref="I61:K61" si="1">I14+I48+I58+I59</f>
        <v>21168457</v>
      </c>
      <c r="J61" s="52">
        <f t="shared" si="1"/>
        <v>123559652</v>
      </c>
      <c r="K61" s="52">
        <f t="shared" si="1"/>
        <v>27898983</v>
      </c>
    </row>
    <row r="62" spans="1:11" ht="12.75" customHeight="1" x14ac:dyDescent="0.2">
      <c r="A62" s="216" t="s">
        <v>363</v>
      </c>
      <c r="B62" s="216"/>
      <c r="C62" s="216"/>
      <c r="D62" s="216"/>
      <c r="E62" s="216"/>
      <c r="F62" s="216"/>
      <c r="G62" s="12">
        <v>55</v>
      </c>
      <c r="H62" s="52">
        <f>H60-H61</f>
        <v>8072120</v>
      </c>
      <c r="I62" s="52">
        <f t="shared" ref="I62:K62" si="2">I60-I61</f>
        <v>-9711839</v>
      </c>
      <c r="J62" s="52">
        <f t="shared" si="2"/>
        <v>5797410</v>
      </c>
      <c r="K62" s="52">
        <f t="shared" si="2"/>
        <v>-12912433</v>
      </c>
    </row>
    <row r="63" spans="1:11" ht="12.75" customHeight="1" x14ac:dyDescent="0.2">
      <c r="A63" s="221" t="s">
        <v>364</v>
      </c>
      <c r="B63" s="221"/>
      <c r="C63" s="221"/>
      <c r="D63" s="221"/>
      <c r="E63" s="221"/>
      <c r="F63" s="221"/>
      <c r="G63" s="12">
        <v>56</v>
      </c>
      <c r="H63" s="52">
        <f>+IF((H60-H61)&gt;0,(H60-H61),0)</f>
        <v>8072120</v>
      </c>
      <c r="I63" s="52">
        <f t="shared" ref="I63:K63" si="3">+IF((I60-I61)&gt;0,(I60-I61),0)</f>
        <v>0</v>
      </c>
      <c r="J63" s="52">
        <f t="shared" si="3"/>
        <v>5797410</v>
      </c>
      <c r="K63" s="52">
        <f t="shared" si="3"/>
        <v>0</v>
      </c>
    </row>
    <row r="64" spans="1:11" ht="12.75" customHeight="1" x14ac:dyDescent="0.2">
      <c r="A64" s="221" t="s">
        <v>365</v>
      </c>
      <c r="B64" s="221"/>
      <c r="C64" s="221"/>
      <c r="D64" s="221"/>
      <c r="E64" s="221"/>
      <c r="F64" s="221"/>
      <c r="G64" s="12">
        <v>57</v>
      </c>
      <c r="H64" s="52">
        <f>+IF((H60-H61)&lt;0,(H60-H61),0)</f>
        <v>0</v>
      </c>
      <c r="I64" s="52">
        <f t="shared" ref="I64:K64" si="4">+IF((I60-I61)&lt;0,(I60-I61),0)</f>
        <v>-9711839</v>
      </c>
      <c r="J64" s="52">
        <f t="shared" si="4"/>
        <v>0</v>
      </c>
      <c r="K64" s="52">
        <f t="shared" si="4"/>
        <v>-12912433</v>
      </c>
    </row>
    <row r="65" spans="1:11" ht="12.75" customHeight="1" x14ac:dyDescent="0.2">
      <c r="A65" s="222" t="s">
        <v>111</v>
      </c>
      <c r="B65" s="222"/>
      <c r="C65" s="222"/>
      <c r="D65" s="222"/>
      <c r="E65" s="222"/>
      <c r="F65" s="222"/>
      <c r="G65" s="11">
        <v>58</v>
      </c>
      <c r="H65" s="53">
        <v>3263538</v>
      </c>
      <c r="I65" s="53">
        <v>3097295</v>
      </c>
      <c r="J65" s="53">
        <v>2143506</v>
      </c>
      <c r="K65" s="53">
        <v>-1971461</v>
      </c>
    </row>
    <row r="66" spans="1:11" ht="12.75" customHeight="1" x14ac:dyDescent="0.2">
      <c r="A66" s="216" t="s">
        <v>366</v>
      </c>
      <c r="B66" s="216"/>
      <c r="C66" s="216"/>
      <c r="D66" s="216"/>
      <c r="E66" s="216"/>
      <c r="F66" s="216"/>
      <c r="G66" s="12">
        <v>59</v>
      </c>
      <c r="H66" s="52">
        <f>H62-H65</f>
        <v>4808582</v>
      </c>
      <c r="I66" s="52">
        <f t="shared" ref="I66:K66" si="5">I62-I65</f>
        <v>-12809134</v>
      </c>
      <c r="J66" s="52">
        <f t="shared" si="5"/>
        <v>3653904</v>
      </c>
      <c r="K66" s="52">
        <f t="shared" si="5"/>
        <v>-10940972</v>
      </c>
    </row>
    <row r="67" spans="1:11" ht="12.75" customHeight="1" x14ac:dyDescent="0.2">
      <c r="A67" s="221" t="s">
        <v>367</v>
      </c>
      <c r="B67" s="221"/>
      <c r="C67" s="221"/>
      <c r="D67" s="221"/>
      <c r="E67" s="221"/>
      <c r="F67" s="221"/>
      <c r="G67" s="12">
        <v>60</v>
      </c>
      <c r="H67" s="52">
        <f>+IF((H62-H65)&gt;0,(H62-H65),0)</f>
        <v>4808582</v>
      </c>
      <c r="I67" s="52">
        <f t="shared" ref="I67:K67" si="6">+IF((I62-I65)&gt;0,(I62-I65),0)</f>
        <v>0</v>
      </c>
      <c r="J67" s="52">
        <f t="shared" si="6"/>
        <v>3653904</v>
      </c>
      <c r="K67" s="52">
        <f t="shared" si="6"/>
        <v>0</v>
      </c>
    </row>
    <row r="68" spans="1:11" ht="12.75" customHeight="1" x14ac:dyDescent="0.2">
      <c r="A68" s="221" t="s">
        <v>368</v>
      </c>
      <c r="B68" s="221"/>
      <c r="C68" s="221"/>
      <c r="D68" s="221"/>
      <c r="E68" s="221"/>
      <c r="F68" s="221"/>
      <c r="G68" s="12">
        <v>61</v>
      </c>
      <c r="H68" s="52">
        <f>+IF((H62-H65)&lt;0,(H62-H65),0)</f>
        <v>0</v>
      </c>
      <c r="I68" s="52">
        <f t="shared" ref="I68:K68" si="7">+IF((I62-I65)&lt;0,(I62-I65),0)</f>
        <v>-12809134</v>
      </c>
      <c r="J68" s="52">
        <f t="shared" si="7"/>
        <v>0</v>
      </c>
      <c r="K68" s="52">
        <f t="shared" si="7"/>
        <v>-10940972</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4808582</v>
      </c>
      <c r="I85" s="55">
        <f>I86+I87</f>
        <v>-12809134</v>
      </c>
      <c r="J85" s="55">
        <f>J86+J87</f>
        <v>3653904</v>
      </c>
      <c r="K85" s="55">
        <f>K86+K87</f>
        <v>-10940972</v>
      </c>
    </row>
    <row r="86" spans="1:11" ht="12.75" customHeight="1" x14ac:dyDescent="0.2">
      <c r="A86" s="228" t="s">
        <v>157</v>
      </c>
      <c r="B86" s="228"/>
      <c r="C86" s="228"/>
      <c r="D86" s="228"/>
      <c r="E86" s="228"/>
      <c r="F86" s="228"/>
      <c r="G86" s="11">
        <v>76</v>
      </c>
      <c r="H86" s="56">
        <v>4808582</v>
      </c>
      <c r="I86" s="56">
        <v>-12809134</v>
      </c>
      <c r="J86" s="56">
        <v>3653904</v>
      </c>
      <c r="K86" s="56">
        <v>-10940972</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4808582</v>
      </c>
      <c r="I89" s="56">
        <f>I66</f>
        <v>-12809134</v>
      </c>
      <c r="J89" s="56">
        <f>J66</f>
        <v>3653904</v>
      </c>
      <c r="K89" s="56">
        <f>K66</f>
        <v>-10940972</v>
      </c>
    </row>
    <row r="90" spans="1:11" ht="24" customHeight="1" x14ac:dyDescent="0.2">
      <c r="A90" s="184" t="s">
        <v>435</v>
      </c>
      <c r="B90" s="184"/>
      <c r="C90" s="184"/>
      <c r="D90" s="184"/>
      <c r="E90" s="184"/>
      <c r="F90" s="184"/>
      <c r="G90" s="12">
        <v>79</v>
      </c>
      <c r="H90" s="73">
        <f>H91+H98</f>
        <v>2284974</v>
      </c>
      <c r="I90" s="73">
        <f>I91+I98</f>
        <v>-253589</v>
      </c>
      <c r="J90" s="73">
        <f t="shared" ref="J90:K90" si="8">J91+J98</f>
        <v>-1124885</v>
      </c>
      <c r="K90" s="73">
        <f t="shared" si="8"/>
        <v>-989455</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2284974</v>
      </c>
      <c r="I98" s="73">
        <f>SUM(I99:I106)</f>
        <v>-253589</v>
      </c>
      <c r="J98" s="73">
        <f t="shared" ref="J98:K98" si="10">SUM(J99:J106)</f>
        <v>-1124885</v>
      </c>
      <c r="K98" s="73">
        <f t="shared" si="10"/>
        <v>-989455</v>
      </c>
    </row>
    <row r="99" spans="1:11" x14ac:dyDescent="0.2">
      <c r="A99" s="232" t="s">
        <v>160</v>
      </c>
      <c r="B99" s="232"/>
      <c r="C99" s="232"/>
      <c r="D99" s="232"/>
      <c r="E99" s="232"/>
      <c r="F99" s="232"/>
      <c r="G99" s="11">
        <v>88</v>
      </c>
      <c r="H99" s="56">
        <v>443747</v>
      </c>
      <c r="I99" s="56">
        <v>-297457</v>
      </c>
      <c r="J99" s="56">
        <v>-193127</v>
      </c>
      <c r="K99" s="56">
        <v>-93602</v>
      </c>
    </row>
    <row r="100" spans="1:11" ht="36" customHeight="1" x14ac:dyDescent="0.2">
      <c r="A100" s="220" t="s">
        <v>386</v>
      </c>
      <c r="B100" s="220"/>
      <c r="C100" s="220"/>
      <c r="D100" s="220"/>
      <c r="E100" s="220"/>
      <c r="F100" s="220"/>
      <c r="G100" s="11">
        <v>89</v>
      </c>
      <c r="H100" s="56">
        <v>-14240</v>
      </c>
      <c r="I100" s="56">
        <v>-14240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1855467</v>
      </c>
      <c r="I102" s="56">
        <v>58108</v>
      </c>
      <c r="J102" s="56">
        <v>-931758</v>
      </c>
      <c r="K102" s="56">
        <v>-895853</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2284974</v>
      </c>
      <c r="I108" s="73">
        <f>I91+I98-I107-I97</f>
        <v>-253589</v>
      </c>
      <c r="J108" s="73">
        <f t="shared" ref="J108:K108" si="11">J91+J98-J107-J97</f>
        <v>-1124885</v>
      </c>
      <c r="K108" s="73">
        <f t="shared" si="11"/>
        <v>-989455</v>
      </c>
    </row>
    <row r="109" spans="1:11" ht="12.75" customHeight="1" x14ac:dyDescent="0.2">
      <c r="A109" s="184" t="s">
        <v>391</v>
      </c>
      <c r="B109" s="184"/>
      <c r="C109" s="184"/>
      <c r="D109" s="184"/>
      <c r="E109" s="184"/>
      <c r="F109" s="184"/>
      <c r="G109" s="12">
        <v>98</v>
      </c>
      <c r="H109" s="55">
        <f>H89+H108</f>
        <v>7093556</v>
      </c>
      <c r="I109" s="55">
        <f>I89+I108</f>
        <v>-13062723</v>
      </c>
      <c r="J109" s="55">
        <f t="shared" ref="J109:K109" si="12">J89+J108</f>
        <v>2529019</v>
      </c>
      <c r="K109" s="55">
        <f t="shared" si="12"/>
        <v>-11930427</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7093556</v>
      </c>
      <c r="I111" s="55">
        <f>I112+I113</f>
        <v>-13062723</v>
      </c>
      <c r="J111" s="55">
        <f>J112+J113</f>
        <v>2529019</v>
      </c>
      <c r="K111" s="55">
        <f>K112+K113</f>
        <v>-11930427</v>
      </c>
    </row>
    <row r="112" spans="1:11" ht="12.75" customHeight="1" x14ac:dyDescent="0.2">
      <c r="A112" s="228" t="s">
        <v>113</v>
      </c>
      <c r="B112" s="228"/>
      <c r="C112" s="228"/>
      <c r="D112" s="228"/>
      <c r="E112" s="228"/>
      <c r="F112" s="228"/>
      <c r="G112" s="11">
        <v>100</v>
      </c>
      <c r="H112" s="56">
        <v>7093556</v>
      </c>
      <c r="I112" s="56">
        <v>-13062723</v>
      </c>
      <c r="J112" s="56">
        <v>2529019</v>
      </c>
      <c r="K112" s="56">
        <v>-11930427</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tabSelected="1" view="pageBreakPreview" topLeftCell="A46" zoomScale="98" zoomScaleNormal="100" zoomScaleSheetLayoutView="98" workbookViewId="0">
      <selection activeCell="A52" sqref="A52:J5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470</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8072120</v>
      </c>
      <c r="I8" s="68">
        <v>5797410</v>
      </c>
    </row>
    <row r="9" spans="1:9" ht="12.75" customHeight="1" x14ac:dyDescent="0.2">
      <c r="A9" s="240" t="s">
        <v>171</v>
      </c>
      <c r="B9" s="240"/>
      <c r="C9" s="240"/>
      <c r="D9" s="240"/>
      <c r="E9" s="240"/>
      <c r="F9" s="240"/>
      <c r="G9" s="69">
        <v>2</v>
      </c>
      <c r="H9" s="70">
        <f>H10+H11+H12+H13+H14+H15+H16+H17</f>
        <v>21540005</v>
      </c>
      <c r="I9" s="70">
        <f>I10+I11+I12+I13+I14+I15+I16+I17</f>
        <v>21511618</v>
      </c>
    </row>
    <row r="10" spans="1:9" ht="12.75" customHeight="1" x14ac:dyDescent="0.2">
      <c r="A10" s="217" t="s">
        <v>172</v>
      </c>
      <c r="B10" s="217"/>
      <c r="C10" s="217"/>
      <c r="D10" s="217"/>
      <c r="E10" s="217"/>
      <c r="F10" s="217"/>
      <c r="G10" s="67">
        <v>3</v>
      </c>
      <c r="H10" s="68">
        <v>15627390</v>
      </c>
      <c r="I10" s="68">
        <v>18391517</v>
      </c>
    </row>
    <row r="11" spans="1:9" ht="22.15" customHeight="1" x14ac:dyDescent="0.2">
      <c r="A11" s="217" t="s">
        <v>173</v>
      </c>
      <c r="B11" s="217"/>
      <c r="C11" s="217"/>
      <c r="D11" s="217"/>
      <c r="E11" s="217"/>
      <c r="F11" s="217"/>
      <c r="G11" s="67">
        <v>4</v>
      </c>
      <c r="H11" s="68">
        <v>58890</v>
      </c>
      <c r="I11" s="68">
        <v>56376</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-174754</v>
      </c>
      <c r="I13" s="68">
        <v>-1554793</v>
      </c>
    </row>
    <row r="14" spans="1:9" ht="12.75" customHeight="1" x14ac:dyDescent="0.2">
      <c r="A14" s="217" t="s">
        <v>176</v>
      </c>
      <c r="B14" s="217"/>
      <c r="C14" s="217"/>
      <c r="D14" s="217"/>
      <c r="E14" s="217"/>
      <c r="F14" s="217"/>
      <c r="G14" s="67">
        <v>7</v>
      </c>
      <c r="H14" s="68">
        <v>4140013</v>
      </c>
      <c r="I14" s="68">
        <v>5176990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1909403</v>
      </c>
      <c r="I16" s="68">
        <v>-904465</v>
      </c>
    </row>
    <row r="17" spans="1:9" ht="25.15" customHeight="1" x14ac:dyDescent="0.2">
      <c r="A17" s="217" t="s">
        <v>179</v>
      </c>
      <c r="B17" s="217"/>
      <c r="C17" s="217"/>
      <c r="D17" s="217"/>
      <c r="E17" s="217"/>
      <c r="F17" s="217"/>
      <c r="G17" s="67">
        <v>10</v>
      </c>
      <c r="H17" s="68">
        <v>-20937</v>
      </c>
      <c r="I17" s="68">
        <v>345993</v>
      </c>
    </row>
    <row r="18" spans="1:9" ht="28.15" customHeight="1" x14ac:dyDescent="0.2">
      <c r="A18" s="239" t="s">
        <v>306</v>
      </c>
      <c r="B18" s="239"/>
      <c r="C18" s="239"/>
      <c r="D18" s="239"/>
      <c r="E18" s="239"/>
      <c r="F18" s="239"/>
      <c r="G18" s="69">
        <v>11</v>
      </c>
      <c r="H18" s="70">
        <f>H8+H9</f>
        <v>29612125</v>
      </c>
      <c r="I18" s="70">
        <f>I8+I9</f>
        <v>27309028</v>
      </c>
    </row>
    <row r="19" spans="1:9" ht="12.75" customHeight="1" x14ac:dyDescent="0.2">
      <c r="A19" s="240" t="s">
        <v>180</v>
      </c>
      <c r="B19" s="240"/>
      <c r="C19" s="240"/>
      <c r="D19" s="240"/>
      <c r="E19" s="240"/>
      <c r="F19" s="240"/>
      <c r="G19" s="69">
        <v>12</v>
      </c>
      <c r="H19" s="70">
        <f>H20+H21+H22+H23</f>
        <v>3131187</v>
      </c>
      <c r="I19" s="70">
        <f>I20+I21+I22+I23</f>
        <v>4221179</v>
      </c>
    </row>
    <row r="20" spans="1:9" ht="12.75" customHeight="1" x14ac:dyDescent="0.2">
      <c r="A20" s="217" t="s">
        <v>181</v>
      </c>
      <c r="B20" s="217"/>
      <c r="C20" s="217"/>
      <c r="D20" s="217"/>
      <c r="E20" s="217"/>
      <c r="F20" s="217"/>
      <c r="G20" s="67">
        <v>13</v>
      </c>
      <c r="H20" s="68">
        <v>-2886849</v>
      </c>
      <c r="I20" s="68">
        <v>3552715</v>
      </c>
    </row>
    <row r="21" spans="1:9" ht="12.75" customHeight="1" x14ac:dyDescent="0.2">
      <c r="A21" s="217" t="s">
        <v>182</v>
      </c>
      <c r="B21" s="217"/>
      <c r="C21" s="217"/>
      <c r="D21" s="217"/>
      <c r="E21" s="217"/>
      <c r="F21" s="217"/>
      <c r="G21" s="67">
        <v>14</v>
      </c>
      <c r="H21" s="68">
        <v>7268882</v>
      </c>
      <c r="I21" s="68">
        <v>855242</v>
      </c>
    </row>
    <row r="22" spans="1:9" ht="12.75" customHeight="1" x14ac:dyDescent="0.2">
      <c r="A22" s="217" t="s">
        <v>183</v>
      </c>
      <c r="B22" s="217"/>
      <c r="C22" s="217"/>
      <c r="D22" s="217"/>
      <c r="E22" s="217"/>
      <c r="F22" s="217"/>
      <c r="G22" s="67">
        <v>15</v>
      </c>
      <c r="H22" s="68">
        <v>-1250846</v>
      </c>
      <c r="I22" s="68">
        <v>-186778</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32743312</v>
      </c>
      <c r="I24" s="70">
        <f>I18+I19</f>
        <v>31530207</v>
      </c>
    </row>
    <row r="25" spans="1:9" ht="12.75" customHeight="1" x14ac:dyDescent="0.2">
      <c r="A25" s="182" t="s">
        <v>186</v>
      </c>
      <c r="B25" s="182"/>
      <c r="C25" s="182"/>
      <c r="D25" s="182"/>
      <c r="E25" s="182"/>
      <c r="F25" s="182"/>
      <c r="G25" s="67">
        <v>18</v>
      </c>
      <c r="H25" s="68">
        <v>-4634492</v>
      </c>
      <c r="I25" s="68">
        <v>-5032001</v>
      </c>
    </row>
    <row r="26" spans="1:9" ht="12.75" customHeight="1" x14ac:dyDescent="0.2">
      <c r="A26" s="182" t="s">
        <v>187</v>
      </c>
      <c r="B26" s="182"/>
      <c r="C26" s="182"/>
      <c r="D26" s="182"/>
      <c r="E26" s="182"/>
      <c r="F26" s="182"/>
      <c r="G26" s="67">
        <v>19</v>
      </c>
      <c r="H26" s="68">
        <v>-285294</v>
      </c>
      <c r="I26" s="68">
        <v>-550662</v>
      </c>
    </row>
    <row r="27" spans="1:9" ht="25.9" customHeight="1" x14ac:dyDescent="0.2">
      <c r="A27" s="244" t="s">
        <v>188</v>
      </c>
      <c r="B27" s="244"/>
      <c r="C27" s="244"/>
      <c r="D27" s="244"/>
      <c r="E27" s="244"/>
      <c r="F27" s="244"/>
      <c r="G27" s="69">
        <v>20</v>
      </c>
      <c r="H27" s="70">
        <f>H24+H25+H26</f>
        <v>27823526</v>
      </c>
      <c r="I27" s="70">
        <f>I24+I25+I26</f>
        <v>25947544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24120</v>
      </c>
      <c r="I30" s="71">
        <v>0</v>
      </c>
    </row>
    <row r="31" spans="1:9" ht="12.75" customHeight="1" x14ac:dyDescent="0.2">
      <c r="A31" s="182" t="s">
        <v>192</v>
      </c>
      <c r="B31" s="182"/>
      <c r="C31" s="182"/>
      <c r="D31" s="182"/>
      <c r="E31" s="182"/>
      <c r="F31" s="182"/>
      <c r="G31" s="67">
        <v>23</v>
      </c>
      <c r="H31" s="71">
        <v>565845</v>
      </c>
      <c r="I31" s="71">
        <v>1375094</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529179</v>
      </c>
      <c r="I33" s="71">
        <v>78294</v>
      </c>
    </row>
    <row r="34" spans="1:9" ht="12.75" customHeight="1" x14ac:dyDescent="0.2">
      <c r="A34" s="182" t="s">
        <v>195</v>
      </c>
      <c r="B34" s="182"/>
      <c r="C34" s="182"/>
      <c r="D34" s="182"/>
      <c r="E34" s="182"/>
      <c r="F34" s="182"/>
      <c r="G34" s="67">
        <v>26</v>
      </c>
      <c r="H34" s="71">
        <v>15312</v>
      </c>
      <c r="I34" s="71">
        <v>0</v>
      </c>
    </row>
    <row r="35" spans="1:9" ht="26.45" customHeight="1" x14ac:dyDescent="0.2">
      <c r="A35" s="239" t="s">
        <v>196</v>
      </c>
      <c r="B35" s="239"/>
      <c r="C35" s="239"/>
      <c r="D35" s="239"/>
      <c r="E35" s="239"/>
      <c r="F35" s="239"/>
      <c r="G35" s="69">
        <v>27</v>
      </c>
      <c r="H35" s="72">
        <f>H29+H30+H31+H32+H33+H34</f>
        <v>1134456</v>
      </c>
      <c r="I35" s="72">
        <f>I29+I30+I31+I32+I33+I34</f>
        <v>1453388</v>
      </c>
    </row>
    <row r="36" spans="1:9" ht="22.9" customHeight="1" x14ac:dyDescent="0.2">
      <c r="A36" s="182" t="s">
        <v>197</v>
      </c>
      <c r="B36" s="182"/>
      <c r="C36" s="182"/>
      <c r="D36" s="182"/>
      <c r="E36" s="182"/>
      <c r="F36" s="182"/>
      <c r="G36" s="67">
        <v>28</v>
      </c>
      <c r="H36" s="71">
        <v>-32181877</v>
      </c>
      <c r="I36" s="71">
        <v>-32328112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-1001275</v>
      </c>
      <c r="I38" s="71">
        <v>-1100000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-602278</v>
      </c>
    </row>
    <row r="41" spans="1:9" ht="24" customHeight="1" x14ac:dyDescent="0.2">
      <c r="A41" s="239" t="s">
        <v>202</v>
      </c>
      <c r="B41" s="239"/>
      <c r="C41" s="239"/>
      <c r="D41" s="239"/>
      <c r="E41" s="239"/>
      <c r="F41" s="239"/>
      <c r="G41" s="69">
        <v>33</v>
      </c>
      <c r="H41" s="72">
        <f>H36+H37+H38+H39+H40</f>
        <v>-33183152</v>
      </c>
      <c r="I41" s="72">
        <f>I36+I37+I38+I39+I40</f>
        <v>-34030390</v>
      </c>
    </row>
    <row r="42" spans="1:9" ht="29.45" customHeight="1" x14ac:dyDescent="0.2">
      <c r="A42" s="244" t="s">
        <v>203</v>
      </c>
      <c r="B42" s="244"/>
      <c r="C42" s="244"/>
      <c r="D42" s="244"/>
      <c r="E42" s="244"/>
      <c r="F42" s="244"/>
      <c r="G42" s="69">
        <v>34</v>
      </c>
      <c r="H42" s="72">
        <f>H35+H41</f>
        <v>-32048696</v>
      </c>
      <c r="I42" s="72">
        <f>I35+I41</f>
        <v>-32577002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51018854</v>
      </c>
      <c r="I46" s="71">
        <v>10524385</v>
      </c>
    </row>
    <row r="47" spans="1:9" ht="12.75" customHeight="1" x14ac:dyDescent="0.2">
      <c r="A47" s="182" t="s">
        <v>208</v>
      </c>
      <c r="B47" s="182"/>
      <c r="C47" s="182"/>
      <c r="D47" s="182"/>
      <c r="E47" s="182"/>
      <c r="F47" s="182"/>
      <c r="G47" s="67">
        <v>38</v>
      </c>
      <c r="H47" s="71">
        <v>35272</v>
      </c>
      <c r="I47" s="71">
        <v>189552</v>
      </c>
    </row>
    <row r="48" spans="1:9" ht="22.15" customHeight="1" x14ac:dyDescent="0.2">
      <c r="A48" s="239" t="s">
        <v>209</v>
      </c>
      <c r="B48" s="239"/>
      <c r="C48" s="239"/>
      <c r="D48" s="239"/>
      <c r="E48" s="239"/>
      <c r="F48" s="239"/>
      <c r="G48" s="69">
        <v>39</v>
      </c>
      <c r="H48" s="72">
        <f>H44+H45+H46+H47</f>
        <v>51054126</v>
      </c>
      <c r="I48" s="72">
        <f>I44+I45+I46+I47</f>
        <v>10713937</v>
      </c>
    </row>
    <row r="49" spans="1:9" ht="24.6" customHeight="1" x14ac:dyDescent="0.2">
      <c r="A49" s="182" t="s">
        <v>305</v>
      </c>
      <c r="B49" s="182"/>
      <c r="C49" s="182"/>
      <c r="D49" s="182"/>
      <c r="E49" s="182"/>
      <c r="F49" s="182"/>
      <c r="G49" s="67">
        <v>40</v>
      </c>
      <c r="H49" s="71">
        <v>-18071550</v>
      </c>
      <c r="I49" s="71">
        <v>-16980291</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-2890508</v>
      </c>
      <c r="I51" s="71">
        <v>-3106713</v>
      </c>
    </row>
    <row r="52" spans="1:9" ht="22.9" customHeight="1" x14ac:dyDescent="0.2">
      <c r="A52" s="182" t="s">
        <v>212</v>
      </c>
      <c r="B52" s="182"/>
      <c r="C52" s="182"/>
      <c r="D52" s="182"/>
      <c r="E52" s="182"/>
      <c r="F52" s="182"/>
      <c r="G52" s="67">
        <v>43</v>
      </c>
      <c r="H52" s="71">
        <v>-787383</v>
      </c>
      <c r="I52" s="71">
        <v>-536727</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-21749441</v>
      </c>
      <c r="I54" s="72">
        <f>I49+I50+I51+I52+I53</f>
        <v>-24160475</v>
      </c>
    </row>
    <row r="55" spans="1:9" ht="29.45" customHeight="1" x14ac:dyDescent="0.2">
      <c r="A55" s="244" t="s">
        <v>215</v>
      </c>
      <c r="B55" s="244"/>
      <c r="C55" s="244"/>
      <c r="D55" s="244"/>
      <c r="E55" s="244"/>
      <c r="F55" s="244"/>
      <c r="G55" s="69">
        <v>46</v>
      </c>
      <c r="H55" s="72">
        <f>H48+H54</f>
        <v>29304685</v>
      </c>
      <c r="I55" s="72">
        <f>I48+I54</f>
        <v>-13446538</v>
      </c>
    </row>
    <row r="56" spans="1:9" x14ac:dyDescent="0.2">
      <c r="A56" s="182" t="s">
        <v>216</v>
      </c>
      <c r="B56" s="182"/>
      <c r="C56" s="182"/>
      <c r="D56" s="182"/>
      <c r="E56" s="182"/>
      <c r="F56" s="182"/>
      <c r="G56" s="67">
        <v>47</v>
      </c>
      <c r="H56" s="71">
        <v>7426</v>
      </c>
      <c r="I56" s="71">
        <v>-12839</v>
      </c>
    </row>
    <row r="57" spans="1:9" ht="26.45" customHeight="1" x14ac:dyDescent="0.2">
      <c r="A57" s="244" t="s">
        <v>217</v>
      </c>
      <c r="B57" s="244"/>
      <c r="C57" s="244"/>
      <c r="D57" s="244"/>
      <c r="E57" s="244"/>
      <c r="F57" s="244"/>
      <c r="G57" s="69">
        <v>48</v>
      </c>
      <c r="H57" s="72">
        <f>H27+H42+H55+H56</f>
        <v>25086941</v>
      </c>
      <c r="I57" s="72">
        <f>I27+I42+I55+I56</f>
        <v>-20088835</v>
      </c>
    </row>
    <row r="58" spans="1:9" x14ac:dyDescent="0.2">
      <c r="A58" s="245" t="s">
        <v>218</v>
      </c>
      <c r="B58" s="245"/>
      <c r="C58" s="245"/>
      <c r="D58" s="245"/>
      <c r="E58" s="245"/>
      <c r="F58" s="245"/>
      <c r="G58" s="67">
        <v>49</v>
      </c>
      <c r="H58" s="71">
        <v>45350051</v>
      </c>
      <c r="I58" s="71">
        <v>70436922</v>
      </c>
    </row>
    <row r="59" spans="1:9" ht="31.15" customHeight="1" x14ac:dyDescent="0.2">
      <c r="A59" s="244" t="s">
        <v>219</v>
      </c>
      <c r="B59" s="244"/>
      <c r="C59" s="244"/>
      <c r="D59" s="244"/>
      <c r="E59" s="244"/>
      <c r="F59" s="244"/>
      <c r="G59" s="69">
        <v>50</v>
      </c>
      <c r="H59" s="72">
        <f>H57+H58</f>
        <v>70436992</v>
      </c>
      <c r="I59" s="72">
        <f>I57+I58</f>
        <v>50348087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470</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abSelected="1" view="pageBreakPreview" zoomScale="80" zoomScaleNormal="100" zoomScaleSheetLayoutView="80" workbookViewId="0">
      <pane ySplit="6" topLeftCell="A7" activePane="bottomLeft" state="frozen"/>
      <selection activeCell="A52" sqref="A52:J52"/>
      <selection pane="bottomLeft" activeCell="A52" sqref="A52:J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13645343</v>
      </c>
      <c r="I7" s="33">
        <v>152017502</v>
      </c>
      <c r="J7" s="33">
        <v>682267</v>
      </c>
      <c r="K7" s="33">
        <v>2244377</v>
      </c>
      <c r="L7" s="33">
        <v>2244377</v>
      </c>
      <c r="M7" s="33">
        <v>0</v>
      </c>
      <c r="N7" s="33">
        <v>41724375</v>
      </c>
      <c r="O7" s="33">
        <v>0</v>
      </c>
      <c r="P7" s="33">
        <v>14275</v>
      </c>
      <c r="Q7" s="33">
        <v>0</v>
      </c>
      <c r="R7" s="33">
        <v>-715415</v>
      </c>
      <c r="S7" s="33">
        <v>0</v>
      </c>
      <c r="T7" s="33">
        <v>-36679</v>
      </c>
      <c r="U7" s="33">
        <v>-2801315</v>
      </c>
      <c r="V7" s="33">
        <v>4192308</v>
      </c>
      <c r="W7" s="34">
        <f>H7+I7+J7+K7-L7+M7+N7+O7+P7+Q7+R7+U7+V7+S7+T7</f>
        <v>208722661</v>
      </c>
      <c r="X7" s="33">
        <v>0</v>
      </c>
      <c r="Y7" s="34">
        <f>W7+X7</f>
        <v>208722661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13645343</v>
      </c>
      <c r="I10" s="34">
        <f t="shared" ref="I10:Y10" si="2">I7+I8+I9</f>
        <v>152017502</v>
      </c>
      <c r="J10" s="34">
        <f t="shared" si="2"/>
        <v>682267</v>
      </c>
      <c r="K10" s="34">
        <f>K7+K8+K9</f>
        <v>2244377</v>
      </c>
      <c r="L10" s="34">
        <f t="shared" si="2"/>
        <v>2244377</v>
      </c>
      <c r="M10" s="34">
        <f t="shared" si="2"/>
        <v>0</v>
      </c>
      <c r="N10" s="34">
        <f t="shared" si="2"/>
        <v>41724375</v>
      </c>
      <c r="O10" s="34">
        <f t="shared" si="2"/>
        <v>0</v>
      </c>
      <c r="P10" s="34">
        <f t="shared" si="2"/>
        <v>14275</v>
      </c>
      <c r="Q10" s="34">
        <f t="shared" si="2"/>
        <v>0</v>
      </c>
      <c r="R10" s="34">
        <f t="shared" si="2"/>
        <v>-715415</v>
      </c>
      <c r="S10" s="34">
        <f t="shared" si="2"/>
        <v>0</v>
      </c>
      <c r="T10" s="34">
        <f t="shared" si="2"/>
        <v>-36679</v>
      </c>
      <c r="U10" s="34">
        <f t="shared" si="2"/>
        <v>-2801315</v>
      </c>
      <c r="V10" s="34">
        <f t="shared" si="2"/>
        <v>4192308</v>
      </c>
      <c r="W10" s="34">
        <f t="shared" si="2"/>
        <v>208722661</v>
      </c>
      <c r="X10" s="34">
        <f t="shared" si="2"/>
        <v>0</v>
      </c>
      <c r="Y10" s="34">
        <f t="shared" si="2"/>
        <v>208722661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4808582</v>
      </c>
      <c r="W11" s="34">
        <f t="shared" ref="W11:W29" si="3">H11+I11+J11+K11-L11+M11+N11+O11+P11+Q11+R11+U11+V11+S11+T11</f>
        <v>4808582</v>
      </c>
      <c r="X11" s="33">
        <v>0</v>
      </c>
      <c r="Y11" s="34">
        <f t="shared" ref="Y11:Y29" si="4">W11+X11</f>
        <v>4808582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443747</v>
      </c>
      <c r="U12" s="35">
        <v>0</v>
      </c>
      <c r="V12" s="35">
        <v>0</v>
      </c>
      <c r="W12" s="34">
        <f t="shared" si="3"/>
        <v>443747</v>
      </c>
      <c r="X12" s="33">
        <v>0</v>
      </c>
      <c r="Y12" s="34">
        <f t="shared" si="4"/>
        <v>443747</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1855467</v>
      </c>
      <c r="S16" s="33">
        <v>0</v>
      </c>
      <c r="T16" s="33">
        <v>0</v>
      </c>
      <c r="U16" s="33">
        <v>0</v>
      </c>
      <c r="V16" s="33">
        <v>0</v>
      </c>
      <c r="W16" s="34">
        <f t="shared" si="3"/>
        <v>1855467</v>
      </c>
      <c r="X16" s="33">
        <v>0</v>
      </c>
      <c r="Y16" s="34">
        <f t="shared" si="4"/>
        <v>1855467</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-31378</v>
      </c>
      <c r="I27" s="33">
        <v>-349573</v>
      </c>
      <c r="J27" s="33">
        <v>-1569</v>
      </c>
      <c r="K27" s="33">
        <v>-5008</v>
      </c>
      <c r="L27" s="33">
        <v>-5008</v>
      </c>
      <c r="M27" s="33">
        <v>0</v>
      </c>
      <c r="N27" s="33">
        <v>119357</v>
      </c>
      <c r="O27" s="33">
        <v>0</v>
      </c>
      <c r="P27" s="33">
        <v>-35</v>
      </c>
      <c r="Q27" s="33">
        <v>0</v>
      </c>
      <c r="R27" s="33">
        <v>2004</v>
      </c>
      <c r="S27" s="33">
        <v>0</v>
      </c>
      <c r="T27" s="33">
        <v>170</v>
      </c>
      <c r="U27" s="33">
        <v>-3199</v>
      </c>
      <c r="V27" s="33">
        <v>0</v>
      </c>
      <c r="W27" s="34">
        <f t="shared" si="3"/>
        <v>-264223</v>
      </c>
      <c r="X27" s="33">
        <v>0</v>
      </c>
      <c r="Y27" s="34">
        <f t="shared" si="4"/>
        <v>-264223</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4192308</v>
      </c>
      <c r="V28" s="33">
        <v>-4192308</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41056349</v>
      </c>
      <c r="O30" s="36">
        <f t="shared" si="5"/>
        <v>0</v>
      </c>
      <c r="P30" s="36">
        <f t="shared" si="5"/>
        <v>0</v>
      </c>
      <c r="Q30" s="36">
        <f t="shared" si="5"/>
        <v>0</v>
      </c>
      <c r="R30" s="36">
        <f t="shared" si="5"/>
        <v>1142056</v>
      </c>
      <c r="S30" s="36">
        <f t="shared" si="5"/>
        <v>0</v>
      </c>
      <c r="T30" s="36">
        <f t="shared" si="5"/>
        <v>407238</v>
      </c>
      <c r="U30" s="36">
        <f t="shared" si="5"/>
        <v>1387794</v>
      </c>
      <c r="V30" s="36">
        <f t="shared" si="5"/>
        <v>4808582</v>
      </c>
      <c r="W30" s="36">
        <f t="shared" si="5"/>
        <v>214764611</v>
      </c>
      <c r="X30" s="36">
        <f t="shared" si="5"/>
        <v>0</v>
      </c>
      <c r="Y30" s="36">
        <f t="shared" si="5"/>
        <v>214764611</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-14240</v>
      </c>
      <c r="Q32" s="34">
        <f t="shared" si="6"/>
        <v>0</v>
      </c>
      <c r="R32" s="34">
        <f t="shared" si="6"/>
        <v>1855467</v>
      </c>
      <c r="S32" s="34">
        <f t="shared" ref="S32:T32" si="7">SUM(S12:S20)</f>
        <v>0</v>
      </c>
      <c r="T32" s="34">
        <f t="shared" si="7"/>
        <v>443747</v>
      </c>
      <c r="U32" s="34">
        <f t="shared" si="6"/>
        <v>0</v>
      </c>
      <c r="V32" s="34">
        <f t="shared" si="6"/>
        <v>0</v>
      </c>
      <c r="W32" s="34">
        <f t="shared" si="6"/>
        <v>2284974</v>
      </c>
      <c r="X32" s="34">
        <f t="shared" si="6"/>
        <v>0</v>
      </c>
      <c r="Y32" s="34">
        <f t="shared" si="6"/>
        <v>2284974</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-14240</v>
      </c>
      <c r="Q33" s="34">
        <f t="shared" si="8"/>
        <v>0</v>
      </c>
      <c r="R33" s="34">
        <f t="shared" si="8"/>
        <v>1855467</v>
      </c>
      <c r="S33" s="34">
        <f t="shared" ref="S33:T33" si="9">S11+S32</f>
        <v>0</v>
      </c>
      <c r="T33" s="34">
        <f t="shared" si="9"/>
        <v>443747</v>
      </c>
      <c r="U33" s="34">
        <f t="shared" si="8"/>
        <v>0</v>
      </c>
      <c r="V33" s="34">
        <f t="shared" si="8"/>
        <v>4808582</v>
      </c>
      <c r="W33" s="34">
        <f t="shared" si="8"/>
        <v>7093556</v>
      </c>
      <c r="X33" s="34">
        <f t="shared" si="8"/>
        <v>0</v>
      </c>
      <c r="Y33" s="34">
        <f t="shared" si="8"/>
        <v>7093556</v>
      </c>
    </row>
    <row r="34" spans="1:25" ht="30.75" customHeight="1" x14ac:dyDescent="0.2">
      <c r="A34" s="292" t="s">
        <v>427</v>
      </c>
      <c r="B34" s="292"/>
      <c r="C34" s="292"/>
      <c r="D34" s="292"/>
      <c r="E34" s="292"/>
      <c r="F34" s="292"/>
      <c r="G34" s="8">
        <v>27</v>
      </c>
      <c r="H34" s="36">
        <f>SUM(H21:H29)</f>
        <v>-31378</v>
      </c>
      <c r="I34" s="36">
        <f t="shared" ref="I34:Y34" si="10">SUM(I21:I29)</f>
        <v>-349573</v>
      </c>
      <c r="J34" s="36">
        <f t="shared" si="10"/>
        <v>-1569</v>
      </c>
      <c r="K34" s="36">
        <f t="shared" si="10"/>
        <v>782375</v>
      </c>
      <c r="L34" s="36">
        <f t="shared" si="10"/>
        <v>782375</v>
      </c>
      <c r="M34" s="36">
        <f t="shared" si="10"/>
        <v>0</v>
      </c>
      <c r="N34" s="36">
        <f t="shared" si="10"/>
        <v>-668026</v>
      </c>
      <c r="O34" s="36">
        <f t="shared" si="10"/>
        <v>0</v>
      </c>
      <c r="P34" s="36">
        <f t="shared" si="10"/>
        <v>-35</v>
      </c>
      <c r="Q34" s="36">
        <f t="shared" si="10"/>
        <v>0</v>
      </c>
      <c r="R34" s="36">
        <f t="shared" si="10"/>
        <v>2004</v>
      </c>
      <c r="S34" s="36">
        <f t="shared" ref="S34:T34" si="11">SUM(S21:S29)</f>
        <v>0</v>
      </c>
      <c r="T34" s="36">
        <f t="shared" si="11"/>
        <v>170</v>
      </c>
      <c r="U34" s="36">
        <f t="shared" si="10"/>
        <v>4189109</v>
      </c>
      <c r="V34" s="36">
        <f t="shared" si="10"/>
        <v>-4192308</v>
      </c>
      <c r="W34" s="36">
        <f t="shared" si="10"/>
        <v>-1051606</v>
      </c>
      <c r="X34" s="36">
        <f t="shared" si="10"/>
        <v>0</v>
      </c>
      <c r="Y34" s="36">
        <f t="shared" si="10"/>
        <v>-1051606</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3026752</v>
      </c>
      <c r="L36" s="33">
        <f t="shared" si="12"/>
        <v>3026752</v>
      </c>
      <c r="M36" s="33">
        <f t="shared" si="12"/>
        <v>0</v>
      </c>
      <c r="N36" s="33">
        <f t="shared" si="12"/>
        <v>41056349</v>
      </c>
      <c r="O36" s="33">
        <f t="shared" si="12"/>
        <v>0</v>
      </c>
      <c r="P36" s="33">
        <f t="shared" si="12"/>
        <v>0</v>
      </c>
      <c r="Q36" s="33">
        <f t="shared" si="12"/>
        <v>0</v>
      </c>
      <c r="R36" s="33">
        <f t="shared" si="12"/>
        <v>1142056</v>
      </c>
      <c r="S36" s="33">
        <f t="shared" si="12"/>
        <v>0</v>
      </c>
      <c r="T36" s="33">
        <f t="shared" si="12"/>
        <v>407238</v>
      </c>
      <c r="U36" s="33">
        <f t="shared" si="12"/>
        <v>1387794</v>
      </c>
      <c r="V36" s="33">
        <f t="shared" si="12"/>
        <v>4808582</v>
      </c>
      <c r="W36" s="37">
        <f>H36+I36+J36+K36-L36+M36+N36+O36+P36+Q36+R36+U36+V36+S36+T36</f>
        <v>214764611</v>
      </c>
      <c r="X36" s="33">
        <v>0</v>
      </c>
      <c r="Y36" s="37">
        <f t="shared" ref="Y36:Y38" si="13">W36+X36</f>
        <v>214764611</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41056349</v>
      </c>
      <c r="O39" s="34">
        <f t="shared" si="15"/>
        <v>0</v>
      </c>
      <c r="P39" s="34">
        <f t="shared" si="15"/>
        <v>0</v>
      </c>
      <c r="Q39" s="34">
        <f t="shared" si="15"/>
        <v>0</v>
      </c>
      <c r="R39" s="34">
        <f t="shared" si="15"/>
        <v>1142056</v>
      </c>
      <c r="S39" s="34">
        <f t="shared" si="15"/>
        <v>0</v>
      </c>
      <c r="T39" s="34">
        <f t="shared" si="15"/>
        <v>407238</v>
      </c>
      <c r="U39" s="34">
        <f t="shared" si="15"/>
        <v>1387794</v>
      </c>
      <c r="V39" s="34">
        <f t="shared" si="15"/>
        <v>4808582</v>
      </c>
      <c r="W39" s="34">
        <f t="shared" si="15"/>
        <v>214764611</v>
      </c>
      <c r="X39" s="34">
        <f t="shared" si="15"/>
        <v>0</v>
      </c>
      <c r="Y39" s="34">
        <f t="shared" si="15"/>
        <v>214764611</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3653904</v>
      </c>
      <c r="W40" s="37">
        <f t="shared" ref="W40:W58" si="16">H40+I40+J40+K40-L40+M40+N40+O40+P40+Q40+R40+U40+V40+S40+T40</f>
        <v>3653904</v>
      </c>
      <c r="X40" s="33">
        <v>0</v>
      </c>
      <c r="Y40" s="37">
        <f t="shared" ref="Y40:Y58" si="17">W40+X40</f>
        <v>3653904</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-193127</v>
      </c>
      <c r="U41" s="35">
        <v>0</v>
      </c>
      <c r="V41" s="35">
        <v>0</v>
      </c>
      <c r="W41" s="37">
        <f t="shared" si="16"/>
        <v>-193127</v>
      </c>
      <c r="X41" s="33">
        <v>0</v>
      </c>
      <c r="Y41" s="37">
        <f t="shared" si="17"/>
        <v>-193127</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-931758</v>
      </c>
      <c r="S45" s="33">
        <v>0</v>
      </c>
      <c r="T45" s="33">
        <v>0</v>
      </c>
      <c r="U45" s="33">
        <v>0</v>
      </c>
      <c r="V45" s="33">
        <v>0</v>
      </c>
      <c r="W45" s="37">
        <f t="shared" si="16"/>
        <v>-931758</v>
      </c>
      <c r="X45" s="33">
        <v>0</v>
      </c>
      <c r="Y45" s="37">
        <f t="shared" si="17"/>
        <v>-931758</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536727</v>
      </c>
      <c r="L53" s="33">
        <v>536727</v>
      </c>
      <c r="M53" s="33">
        <v>0</v>
      </c>
      <c r="N53" s="33">
        <v>-536727</v>
      </c>
      <c r="O53" s="33">
        <v>0</v>
      </c>
      <c r="P53" s="33">
        <v>0</v>
      </c>
      <c r="Q53" s="33">
        <v>0</v>
      </c>
      <c r="R53" s="33">
        <v>0</v>
      </c>
      <c r="S53" s="33">
        <v>0</v>
      </c>
      <c r="T53" s="33">
        <v>0</v>
      </c>
      <c r="U53" s="33">
        <v>0</v>
      </c>
      <c r="V53" s="33">
        <v>0</v>
      </c>
      <c r="W53" s="37">
        <f t="shared" si="16"/>
        <v>-536727</v>
      </c>
      <c r="X53" s="33">
        <v>0</v>
      </c>
      <c r="Y53" s="37">
        <f t="shared" si="17"/>
        <v>-536727</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70" t="s">
        <v>422</v>
      </c>
      <c r="B56" s="270"/>
      <c r="C56" s="270"/>
      <c r="D56" s="270"/>
      <c r="E56" s="270"/>
      <c r="F56" s="270"/>
      <c r="G56" s="6">
        <v>48</v>
      </c>
      <c r="H56" s="33">
        <v>0</v>
      </c>
      <c r="I56" s="33">
        <v>0</v>
      </c>
      <c r="J56" s="33">
        <v>0</v>
      </c>
      <c r="K56" s="33">
        <v>0</v>
      </c>
      <c r="L56" s="33">
        <v>0</v>
      </c>
      <c r="M56" s="33">
        <v>0</v>
      </c>
      <c r="N56" s="33">
        <v>215457</v>
      </c>
      <c r="O56" s="33">
        <v>0</v>
      </c>
      <c r="P56" s="33">
        <v>0</v>
      </c>
      <c r="Q56" s="33">
        <v>0</v>
      </c>
      <c r="R56" s="33">
        <v>0</v>
      </c>
      <c r="S56" s="33">
        <v>0</v>
      </c>
      <c r="T56" s="33">
        <v>0</v>
      </c>
      <c r="U56" s="33">
        <v>930</v>
      </c>
      <c r="V56" s="33">
        <v>0</v>
      </c>
      <c r="W56" s="37">
        <f t="shared" si="16"/>
        <v>216387</v>
      </c>
      <c r="X56" s="33">
        <v>0</v>
      </c>
      <c r="Y56" s="37">
        <f t="shared" si="17"/>
        <v>216387</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4808582</v>
      </c>
      <c r="V57" s="33">
        <f>-V36</f>
        <v>-4808582</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151667929</v>
      </c>
      <c r="J59" s="36">
        <f t="shared" si="18"/>
        <v>680698</v>
      </c>
      <c r="K59" s="36">
        <f t="shared" si="18"/>
        <v>3563479</v>
      </c>
      <c r="L59" s="36">
        <f t="shared" si="18"/>
        <v>3563479</v>
      </c>
      <c r="M59" s="36">
        <f t="shared" si="18"/>
        <v>0</v>
      </c>
      <c r="N59" s="36">
        <f t="shared" si="18"/>
        <v>40735079</v>
      </c>
      <c r="O59" s="36">
        <f t="shared" si="18"/>
        <v>0</v>
      </c>
      <c r="P59" s="36">
        <f t="shared" si="18"/>
        <v>0</v>
      </c>
      <c r="Q59" s="36">
        <f t="shared" si="18"/>
        <v>0</v>
      </c>
      <c r="R59" s="36">
        <f t="shared" si="18"/>
        <v>210298</v>
      </c>
      <c r="S59" s="36">
        <f t="shared" si="18"/>
        <v>0</v>
      </c>
      <c r="T59" s="36">
        <f t="shared" si="18"/>
        <v>214111</v>
      </c>
      <c r="U59" s="36">
        <f t="shared" si="18"/>
        <v>2660562</v>
      </c>
      <c r="V59" s="36">
        <f t="shared" si="18"/>
        <v>3653904</v>
      </c>
      <c r="W59" s="36">
        <f t="shared" si="18"/>
        <v>213436546</v>
      </c>
      <c r="X59" s="36">
        <f t="shared" si="18"/>
        <v>0</v>
      </c>
      <c r="Y59" s="36">
        <f t="shared" si="18"/>
        <v>213436546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-931758</v>
      </c>
      <c r="S61" s="37">
        <f t="shared" ref="S61:T61" si="20">SUM(S41:S49)</f>
        <v>0</v>
      </c>
      <c r="T61" s="37">
        <f t="shared" si="20"/>
        <v>-193127</v>
      </c>
      <c r="U61" s="37">
        <f t="shared" si="19"/>
        <v>0</v>
      </c>
      <c r="V61" s="37">
        <f t="shared" si="19"/>
        <v>0</v>
      </c>
      <c r="W61" s="37">
        <f t="shared" si="19"/>
        <v>-1124885</v>
      </c>
      <c r="X61" s="37">
        <f t="shared" si="19"/>
        <v>0</v>
      </c>
      <c r="Y61" s="37">
        <f t="shared" si="19"/>
        <v>-1124885</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-931758</v>
      </c>
      <c r="S62" s="37">
        <f t="shared" ref="S62:T62" si="22">S40+S61</f>
        <v>0</v>
      </c>
      <c r="T62" s="37">
        <f t="shared" si="22"/>
        <v>-193127</v>
      </c>
      <c r="U62" s="37">
        <f t="shared" si="21"/>
        <v>0</v>
      </c>
      <c r="V62" s="37">
        <f t="shared" si="21"/>
        <v>3653904</v>
      </c>
      <c r="W62" s="37">
        <f t="shared" si="21"/>
        <v>2529019</v>
      </c>
      <c r="X62" s="37">
        <f t="shared" si="21"/>
        <v>0</v>
      </c>
      <c r="Y62" s="37">
        <f t="shared" si="21"/>
        <v>2529019</v>
      </c>
    </row>
    <row r="63" spans="1:25" ht="29.25" customHeight="1" x14ac:dyDescent="0.2">
      <c r="A63" s="292" t="s">
        <v>434</v>
      </c>
      <c r="B63" s="292"/>
      <c r="C63" s="292"/>
      <c r="D63" s="292"/>
      <c r="E63" s="292"/>
      <c r="F63" s="292"/>
      <c r="G63" s="8">
        <v>54</v>
      </c>
      <c r="H63" s="38">
        <f>SUM(H50:H58)</f>
        <v>0</v>
      </c>
      <c r="I63" s="38">
        <f t="shared" ref="I63:Y63" si="23">SUM(I50:I58)</f>
        <v>0</v>
      </c>
      <c r="J63" s="38">
        <f t="shared" si="23"/>
        <v>0</v>
      </c>
      <c r="K63" s="38">
        <f t="shared" si="23"/>
        <v>536727</v>
      </c>
      <c r="L63" s="38">
        <f t="shared" si="23"/>
        <v>536727</v>
      </c>
      <c r="M63" s="38">
        <f t="shared" si="23"/>
        <v>0</v>
      </c>
      <c r="N63" s="38">
        <f t="shared" si="23"/>
        <v>-321270</v>
      </c>
      <c r="O63" s="38">
        <f t="shared" si="23"/>
        <v>0</v>
      </c>
      <c r="P63" s="38">
        <f t="shared" si="23"/>
        <v>0</v>
      </c>
      <c r="Q63" s="38">
        <f t="shared" si="23"/>
        <v>0</v>
      </c>
      <c r="R63" s="38">
        <f t="shared" si="23"/>
        <v>0</v>
      </c>
      <c r="S63" s="38">
        <f t="shared" ref="S63:T63" si="24">SUM(S50:S58)</f>
        <v>0</v>
      </c>
      <c r="T63" s="38">
        <f t="shared" si="24"/>
        <v>0</v>
      </c>
      <c r="U63" s="38">
        <f t="shared" si="23"/>
        <v>1272768</v>
      </c>
      <c r="V63" s="38">
        <f t="shared" si="23"/>
        <v>-4808582</v>
      </c>
      <c r="W63" s="38">
        <f t="shared" si="23"/>
        <v>-3857084</v>
      </c>
      <c r="X63" s="38">
        <f t="shared" si="23"/>
        <v>0</v>
      </c>
      <c r="Y63" s="38">
        <f t="shared" si="23"/>
        <v>-3857084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0866141732283472" right="0.70866141732283472" top="0.74803149606299213" bottom="0.74803149606299213" header="0.31496062992125984" footer="0.31496062992125984"/>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0"/>
  <sheetViews>
    <sheetView tabSelected="1" view="pageBreakPreview" zoomScale="90" zoomScaleNormal="66" zoomScaleSheetLayoutView="90" workbookViewId="0">
      <selection activeCell="A52" sqref="A52:J52"/>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ht="167.25" customHeight="1" x14ac:dyDescent="0.2">
      <c r="A37" s="295"/>
      <c r="B37" s="295"/>
      <c r="C37" s="295"/>
      <c r="D37" s="295"/>
      <c r="E37" s="295"/>
      <c r="F37" s="295"/>
      <c r="G37" s="295"/>
      <c r="H37" s="295"/>
      <c r="I37" s="295"/>
    </row>
    <row r="38" spans="1:9" ht="40.5" customHeight="1" x14ac:dyDescent="0.2">
      <c r="A38" s="295"/>
      <c r="B38" s="295"/>
      <c r="C38" s="295"/>
      <c r="D38" s="295"/>
      <c r="E38" s="295"/>
      <c r="F38" s="295"/>
      <c r="G38" s="295"/>
      <c r="H38" s="295"/>
      <c r="I38" s="295"/>
    </row>
    <row r="39" spans="1:9" ht="203.25" customHeight="1" x14ac:dyDescent="0.2">
      <c r="A39" s="295"/>
      <c r="B39" s="295"/>
      <c r="C39" s="295"/>
      <c r="D39" s="295"/>
      <c r="E39" s="295"/>
      <c r="F39" s="295"/>
      <c r="G39" s="295"/>
      <c r="H39" s="295"/>
      <c r="I39" s="295"/>
    </row>
    <row r="40" spans="1:9" ht="409.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2024-02-28T10:07:54Z</cp:lastPrinted>
  <dcterms:created xsi:type="dcterms:W3CDTF">2008-10-17T11:51:54Z</dcterms:created>
  <dcterms:modified xsi:type="dcterms:W3CDTF">2024-02-28T10:09:28Z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